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1_Accounting Clients\Athena San Diego\Financials and Workpapers\Monthly Financial Reports\2024\05 May 2024\"/>
    </mc:Choice>
  </mc:AlternateContent>
  <xr:revisionPtr revIDLastSave="0" documentId="8_{E4F30086-5C8D-4D86-A043-AEA2539E4ADE}" xr6:coauthVersionLast="47" xr6:coauthVersionMax="47" xr10:uidLastSave="{00000000-0000-0000-0000-000000000000}"/>
  <bookViews>
    <workbookView xWindow="28680" yWindow="-120" windowWidth="29040" windowHeight="15840" tabRatio="933" xr2:uid="{00000000-000D-0000-FFFF-FFFF00000000}"/>
  </bookViews>
  <sheets>
    <sheet name="Dashboard" sheetId="8" r:id="rId1"/>
    <sheet name="2023 YE Projection" sheetId="24" state="hidden" r:id="rId2"/>
    <sheet name="Corp Sponsorship 2024" sheetId="25" r:id="rId3"/>
    <sheet name="Corp Sponsorship Tracking 2024" sheetId="26" r:id="rId4"/>
    <sheet name="Event Sponsorship 2024" sheetId="27" r:id="rId5"/>
    <sheet name="Stmt of Activities-P&amp;L" sheetId="1" r:id="rId6"/>
    <sheet name="Stmt of Fin Position-Balance Sh" sheetId="2" r:id="rId7"/>
    <sheet name="Monthly YTD Actuals vs. Budget" sheetId="13" r:id="rId8"/>
    <sheet name="AR Aging Summary" sheetId="15" r:id="rId9"/>
    <sheet name="2024 Budget" sheetId="30" r:id="rId10"/>
    <sheet name="2023 Balance Sheet" sheetId="1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26759_3000" localSheetId="0">[1]MATL_DB!$C$110</definedName>
    <definedName name="_26759_3000">[2]MATL_DB!$C$110</definedName>
    <definedName name="_26759_4000" localSheetId="0">[1]MATL_DB!$C$111</definedName>
    <definedName name="_26759_4000">[2]MATL_DB!$C$111</definedName>
    <definedName name="_7781" localSheetId="0">[1]MATL_DB!$C$27</definedName>
    <definedName name="_7781">[2]MATL_DB!$C$27</definedName>
    <definedName name="_A210" localSheetId="0">[1]MATL_DB!$C$29</definedName>
    <definedName name="_A210">[2]MATL_DB!$C$29</definedName>
    <definedName name="_xlnm._FilterDatabase" localSheetId="2" hidden="1">'Corp Sponsorship 2024'!$A$3:$D$47</definedName>
    <definedName name="_xlnm._FilterDatabase" localSheetId="3" hidden="1">'Corp Sponsorship Tracking 2024'!$F$48:$G$225</definedName>
    <definedName name="_xlnm._FilterDatabase" localSheetId="4" hidden="1">'Event Sponsorship 2024'!$A$246:$G$329</definedName>
    <definedName name="_HC1" localSheetId="0">[1]MATL_DB!$C$10</definedName>
    <definedName name="_HC1">[2]MATL_DB!$C$10</definedName>
    <definedName name="_HC2" localSheetId="0">[1]MATL_DB!$C$11</definedName>
    <definedName name="_HC2">[2]MATL_DB!$C$11</definedName>
    <definedName name="_HC3" localSheetId="0">[1]MATL_DB!$C$12</definedName>
    <definedName name="_HC3">[2]MATL_DB!$C$12</definedName>
    <definedName name="_HC4" localSheetId="0">[1]MATL_DB!$C$13</definedName>
    <definedName name="_HC4">[2]MATL_DB!$C$13</definedName>
    <definedName name="_SP114" localSheetId="0">[1]MATL_DB!$C$30</definedName>
    <definedName name="_SP114">[2]MATL_DB!$C$30</definedName>
    <definedName name="_xlcn.WorksheetConnection_T9A2C161" localSheetId="10" hidden="1">#REF!</definedName>
    <definedName name="_xlcn.WorksheetConnection_T9A2C161" localSheetId="2" hidden="1">#REF!</definedName>
    <definedName name="_xlcn.WorksheetConnection_T9A2C161" localSheetId="3" hidden="1">#REF!</definedName>
    <definedName name="_xlcn.WorksheetConnection_T9A2C161" localSheetId="0" hidden="1">#REF!</definedName>
    <definedName name="_xlcn.WorksheetConnection_T9A2C161" localSheetId="4" hidden="1">#REF!</definedName>
    <definedName name="_xlcn.WorksheetConnection_T9A2C161" hidden="1">#REF!</definedName>
    <definedName name="aa" localSheetId="3">[3]!aa</definedName>
    <definedName name="aa" localSheetId="0">[4]!aa</definedName>
    <definedName name="aa">[3]!aa</definedName>
    <definedName name="aaa" localSheetId="3">[3]!aaa</definedName>
    <definedName name="aaa" localSheetId="0">[4]!aaa</definedName>
    <definedName name="aaa">[3]!aaa</definedName>
    <definedName name="aaaa" localSheetId="3">[3]!aaaa</definedName>
    <definedName name="aaaa" localSheetId="0">[4]!aaaa</definedName>
    <definedName name="aaaa">[3]!aaaa</definedName>
    <definedName name="aaaaa" localSheetId="3">[3]!aaaaa</definedName>
    <definedName name="aaaaa" localSheetId="0">[4]!aaaaa</definedName>
    <definedName name="aaaaa">[3]!aaaaa</definedName>
    <definedName name="aft_cg" localSheetId="10">'[5]Aft LBR'!#REF!</definedName>
    <definedName name="aft_cg" localSheetId="2">'[5]Aft LBR'!#REF!</definedName>
    <definedName name="aft_cg" localSheetId="3">'[5]Aft LBR'!#REF!</definedName>
    <definedName name="aft_cg" localSheetId="0">'[5]Aft LBR'!#REF!</definedName>
    <definedName name="aft_cg" localSheetId="4">'[5]Aft LBR'!#REF!</definedName>
    <definedName name="aft_cg">'[5]Aft LBR'!#REF!</definedName>
    <definedName name="aft_dome" localSheetId="2">'[5]Aft LBR'!#REF!</definedName>
    <definedName name="aft_dome" localSheetId="3">'[5]Aft LBR'!#REF!</definedName>
    <definedName name="aft_dome" localSheetId="0">'[5]Aft LBR'!#REF!</definedName>
    <definedName name="aft_dome" localSheetId="4">'[5]Aft LBR'!#REF!</definedName>
    <definedName name="aft_dome">'[5]Aft LBR'!#REF!</definedName>
    <definedName name="AL_HC_1_4_15N" localSheetId="0">[1]MATL_DB!$C$14</definedName>
    <definedName name="AL_HC_1_4_15N">[2]MATL_DB!$C$14</definedName>
    <definedName name="AL_HC_1_4_20N" localSheetId="0">[1]MATL_DB!$C$15</definedName>
    <definedName name="AL_HC_1_4_20N">[2]MATL_DB!$C$15</definedName>
    <definedName name="ALUM_2024_T35" localSheetId="0">[1]MATL_DB!$C$22</definedName>
    <definedName name="ALUM_2024_T35">[2]MATL_DB!$C$22</definedName>
    <definedName name="ALUM_7075_T6" localSheetId="0">[1]MATL_DB!$C$23</definedName>
    <definedName name="ALUM_7075_T6">[2]MATL_DB!$C$23</definedName>
    <definedName name="AN96010L" localSheetId="0">[1]MATL_DB!$C$74</definedName>
    <definedName name="AN96010L">[2]MATL_DB!$C$74</definedName>
    <definedName name="AN960D10" localSheetId="0">[1]MATL_DB!$C$75</definedName>
    <definedName name="AN960D10">[2]MATL_DB!$C$75</definedName>
    <definedName name="AN960D416" localSheetId="0">[1]MATL_DB!$C$76</definedName>
    <definedName name="AN960D416">[2]MATL_DB!$C$76</definedName>
    <definedName name="CurMonth" localSheetId="0">[6]Menu!$M$8</definedName>
    <definedName name="CurMonth">[7]Menu!$M$8</definedName>
    <definedName name="_xlnm.Database">[5]Estimates!#REF!</definedName>
    <definedName name="DDDD" localSheetId="3">[3]!DDDD</definedName>
    <definedName name="DDDD" localSheetId="0">[4]!DDDD</definedName>
    <definedName name="DDDD">[3]!DDDD</definedName>
    <definedName name="EEEEEE" localSheetId="3">[3]!EEEEEE</definedName>
    <definedName name="EEEEEE" localSheetId="0">[4]!EEEEEE</definedName>
    <definedName name="EEEEEE">[3]!EEEEEE</definedName>
    <definedName name="FM58_FILM" localSheetId="0">[1]MATL_DB!$C$34</definedName>
    <definedName name="FM58_FILM">[2]MATL_DB!$C$34</definedName>
    <definedName name="FM97_FILM" localSheetId="0">[1]MATL_DB!$C$33</definedName>
    <definedName name="FM97_FILM">[2]MATL_DB!$C$33</definedName>
    <definedName name="FormatWBS" localSheetId="3">[3]!FormatWBS</definedName>
    <definedName name="FormatWBS" localSheetId="0">[4]!FormatWBS</definedName>
    <definedName name="FormatWBS">[3]!FormatWBS</definedName>
    <definedName name="fwd_cg" localSheetId="10">#REF!</definedName>
    <definedName name="fwd_cg" localSheetId="2">#REF!</definedName>
    <definedName name="fwd_cg" localSheetId="3">#REF!</definedName>
    <definedName name="fwd_cg" localSheetId="0">#REF!</definedName>
    <definedName name="fwd_cg" localSheetId="4">#REF!</definedName>
    <definedName name="fwd_cg">#REF!</definedName>
    <definedName name="fwd_dome" localSheetId="10">#REF!</definedName>
    <definedName name="fwd_dome" localSheetId="2">#REF!</definedName>
    <definedName name="fwd_dome" localSheetId="3">#REF!</definedName>
    <definedName name="fwd_dome" localSheetId="0">#REF!</definedName>
    <definedName name="fwd_dome" localSheetId="4">#REF!</definedName>
    <definedName name="fwd_dome">#REF!</definedName>
    <definedName name="ImportLbr" localSheetId="3">[3]!ImportLbr</definedName>
    <definedName name="ImportLbr" localSheetId="0">[4]!ImportLbr</definedName>
    <definedName name="ImportLbr">[3]!ImportLbr</definedName>
    <definedName name="L12_Month">OFFSET([8]Section_4!$B$48,COUNTA([8]Section_4!$B$49:$B$70),0,-12,1)</definedName>
    <definedName name="L12_Sales">OFFSET([8]Section_4!$C$48,COUNTA([8]Section_4!$C$49:$C$70),0,-12,1)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PS_CG" localSheetId="10">#REF!</definedName>
    <definedName name="LPS_CG" localSheetId="2">#REF!</definedName>
    <definedName name="LPS_CG" localSheetId="3">#REF!</definedName>
    <definedName name="LPS_CG" localSheetId="0">#REF!</definedName>
    <definedName name="LPS_CG" localSheetId="4">#REF!</definedName>
    <definedName name="LPS_CG">#REF!</definedName>
    <definedName name="LPS_WT" localSheetId="10">#REF!</definedName>
    <definedName name="LPS_WT" localSheetId="2">#REF!</definedName>
    <definedName name="LPS_WT" localSheetId="3">#REF!</definedName>
    <definedName name="LPS_WT" localSheetId="0">#REF!</definedName>
    <definedName name="LPS_WT" localSheetId="4">#REF!</definedName>
    <definedName name="LPS_WT">#REF!</definedName>
    <definedName name="mid_cg" localSheetId="10">#REF!</definedName>
    <definedName name="mid_cg" localSheetId="2">#REF!</definedName>
    <definedName name="mid_cg" localSheetId="3">#REF!</definedName>
    <definedName name="mid_cg" localSheetId="0">#REF!</definedName>
    <definedName name="mid_cg" localSheetId="4">#REF!</definedName>
    <definedName name="mid_cg">#REF!</definedName>
    <definedName name="mid_dome" localSheetId="10">#REF!</definedName>
    <definedName name="mid_dome" localSheetId="2">#REF!</definedName>
    <definedName name="mid_dome" localSheetId="3">#REF!</definedName>
    <definedName name="mid_dome" localSheetId="0">#REF!</definedName>
    <definedName name="mid_dome" localSheetId="4">#REF!</definedName>
    <definedName name="mid_dome">#REF!</definedName>
    <definedName name="MS20426AD3" localSheetId="0">[1]MATL_DB!$C$57</definedName>
    <definedName name="MS20426AD3">[2]MATL_DB!$C$57</definedName>
    <definedName name="MS20426AD4" localSheetId="0">[1]MATL_DB!$C$58</definedName>
    <definedName name="MS20426AD4">[2]MATL_DB!$C$58</definedName>
    <definedName name="MS20470AD4" localSheetId="0">[1]MATL_DB!$C$60</definedName>
    <definedName name="MS20470AD4">[2]MATL_DB!$C$60</definedName>
    <definedName name="MS21042L4" localSheetId="0">[1]MATL_DB!$C$83</definedName>
    <definedName name="MS21042L4">[2]MATL_DB!$C$83</definedName>
    <definedName name="MS21047L3" localSheetId="0">[1]MATL_DB!$C$86</definedName>
    <definedName name="MS21047L3">[2]MATL_DB!$C$86</definedName>
    <definedName name="MS21059L3" localSheetId="0">[1]MATL_DB!$C$87</definedName>
    <definedName name="MS21059L3">[2]MATL_DB!$C$87</definedName>
    <definedName name="MS21075L3" localSheetId="0">[1]MATL_DB!$C$89</definedName>
    <definedName name="MS21075L3">[2]MATL_DB!$C$89</definedName>
    <definedName name="MS24694_S129" localSheetId="0">[1]MATL_DB!$C$68</definedName>
    <definedName name="MS24694_S129">[2]MATL_DB!$C$68</definedName>
    <definedName name="MS24694_S131" localSheetId="0">[1]MATL_DB!$C$69</definedName>
    <definedName name="MS24694_S131">[2]MATL_DB!$C$69</definedName>
    <definedName name="MS24694_S60" localSheetId="0">[1]MATL_DB!$C$63</definedName>
    <definedName name="MS24694_S60">[2]MATL_DB!$C$63</definedName>
    <definedName name="MS24694_S63" localSheetId="0">[1]MATL_DB!$C$65</definedName>
    <definedName name="MS24694_S63">[2]MATL_DB!$C$65</definedName>
    <definedName name="MS24694_S69" localSheetId="0">[1]MATL_DB!$C$66</definedName>
    <definedName name="MS24694_S69">[2]MATL_DB!$C$66</definedName>
    <definedName name="MS27039_1_17" localSheetId="0">[1]MATL_DB!$C$70</definedName>
    <definedName name="MS27039_1_17">[2]MATL_DB!$C$70</definedName>
    <definedName name="NAS1068_A3" localSheetId="0">[1]MATL_DB!$C$92</definedName>
    <definedName name="NAS1068_A3">[2]MATL_DB!$C$92</definedName>
    <definedName name="NAS1203_18" localSheetId="0">[1]MATL_DB!$C$98</definedName>
    <definedName name="NAS1203_18">[2]MATL_DB!$C$98</definedName>
    <definedName name="NAS1204_26" localSheetId="0">[1]MATL_DB!$C$99</definedName>
    <definedName name="NAS1204_26">[2]MATL_DB!$C$99</definedName>
    <definedName name="NAS1204_28" localSheetId="0">[1]MATL_DB!$C$100</definedName>
    <definedName name="NAS1204_28">[2]MATL_DB!$C$100</definedName>
    <definedName name="NAS1509_21" localSheetId="0">[1]MATL_DB!$C$96</definedName>
    <definedName name="NAS1509_21">[2]MATL_DB!$C$96</definedName>
    <definedName name="NAS1509_22" localSheetId="0">[1]MATL_DB!$C$97</definedName>
    <definedName name="NAS1509_22">[2]MATL_DB!$C$97</definedName>
    <definedName name="NAS1669_3L_6" localSheetId="0">[1]MATL_DB!$C$101</definedName>
    <definedName name="NAS1669_3L_6">[2]MATL_DB!$C$101</definedName>
    <definedName name="NAS1919B04_00" localSheetId="0">[1]MATL_DB!$C$37</definedName>
    <definedName name="NAS1919B04_00">[2]MATL_DB!$C$37</definedName>
    <definedName name="NAS1919B04_02" localSheetId="0">[1]MATL_DB!$C$38</definedName>
    <definedName name="NAS1919B04_02">[2]MATL_DB!$C$38</definedName>
    <definedName name="NAS1919B04_04" localSheetId="0">[1]MATL_DB!$C$40</definedName>
    <definedName name="NAS1919B04_04">[2]MATL_DB!$C$40</definedName>
    <definedName name="NAS1919B04_3" localSheetId="0">[1]MATL_DB!$C$39</definedName>
    <definedName name="NAS1919B04_3">[2]MATL_DB!$C$39</definedName>
    <definedName name="NAS1919B05_00" localSheetId="0">[1]MATL_DB!$C$41</definedName>
    <definedName name="NAS1919B05_00">[2]MATL_DB!$C$41</definedName>
    <definedName name="NAS1919B05_02" localSheetId="0">[1]MATL_DB!$C$42</definedName>
    <definedName name="NAS1919B05_02">[2]MATL_DB!$C$42</definedName>
    <definedName name="NAS1919B05_03" localSheetId="0">[1]MATL_DB!$C$43</definedName>
    <definedName name="NAS1919B05_03">[2]MATL_DB!$C$43</definedName>
    <definedName name="NAS1919B05_05" localSheetId="0">[1]MATL_DB!$C$44</definedName>
    <definedName name="NAS1919B05_05">[2]MATL_DB!$C$44</definedName>
    <definedName name="NAS1919B06_02" localSheetId="0">[1]MATL_DB!$C$45</definedName>
    <definedName name="NAS1919B06_02">[2]MATL_DB!$C$45</definedName>
    <definedName name="NAS1919B06_03" localSheetId="0">[1]MATL_DB!$C$46</definedName>
    <definedName name="NAS1919B06_03">[2]MATL_DB!$C$46</definedName>
    <definedName name="NAS1919B06_05" localSheetId="0">[1]MATL_DB!$C$47</definedName>
    <definedName name="NAS1919B06_05">[2]MATL_DB!$C$47</definedName>
    <definedName name="NAS1921B04_01" localSheetId="0">[1]MATL_DB!$C$49</definedName>
    <definedName name="NAS1921B04_01">[2]MATL_DB!$C$49</definedName>
    <definedName name="NAS1921B04_02" localSheetId="0">[1]MATL_DB!$C$50</definedName>
    <definedName name="NAS1921B04_02">[2]MATL_DB!$C$50</definedName>
    <definedName name="NAS1921B04_03" localSheetId="0">[1]MATL_DB!$C$51</definedName>
    <definedName name="NAS1921B04_03">[2]MATL_DB!$C$51</definedName>
    <definedName name="NAS1921B04_04" localSheetId="0">[1]MATL_DB!$C$52</definedName>
    <definedName name="NAS1921B04_04">[2]MATL_DB!$C$52</definedName>
    <definedName name="NAS1921B04_05" localSheetId="0">[1]MATL_DB!$C$53</definedName>
    <definedName name="NAS1921B04_05">[2]MATL_DB!$C$53</definedName>
    <definedName name="NAS620_8L" localSheetId="0">[1]MATL_DB!$C$78</definedName>
    <definedName name="NAS620_8L">[2]MATL_DB!$C$78</definedName>
    <definedName name="new" localSheetId="3">[3]!new</definedName>
    <definedName name="new" localSheetId="0">[4]!new</definedName>
    <definedName name="new">[3]!new</definedName>
    <definedName name="Period" localSheetId="0">[6]Menu!$M$6</definedName>
    <definedName name="Period">[7]Menu!$M$6</definedName>
    <definedName name="_xlnm.Print_Area" localSheetId="3">'Corp Sponsorship Tracking 2024'!$J$134:$O$139</definedName>
    <definedName name="RNYLON" localSheetId="2">[2]MATL_DB!#REF!</definedName>
    <definedName name="RNYLON" localSheetId="3">[2]MATL_DB!#REF!</definedName>
    <definedName name="RNYLON" localSheetId="0">[1]MATL_DB!#REF!</definedName>
    <definedName name="RNYLON" localSheetId="4">[2]MATL_DB!#REF!</definedName>
    <definedName name="RNYLON">[2]MATL_DB!#REF!</definedName>
    <definedName name="S" localSheetId="3">[3]!S</definedName>
    <definedName name="S" localSheetId="0">[4]!S</definedName>
    <definedName name="S">[3]!S</definedName>
    <definedName name="ShowLDODlg" localSheetId="3">[3]!ShowLDODlg</definedName>
    <definedName name="ShowLDODlg" localSheetId="0">[4]!ShowLDODlg</definedName>
    <definedName name="ShowLDODlg">[3]!ShowLDODlg</definedName>
    <definedName name="ShowPgBrkDlg" localSheetId="3">[3]!ShowPgBrkDlg</definedName>
    <definedName name="ShowPgBrkDlg" localSheetId="0">[4]!ShowPgBrkDlg</definedName>
    <definedName name="ShowPgBrkDlg">[3]!ShowPgBrkDlg</definedName>
    <definedName name="SOWStatus" localSheetId="0">[9]Sheet1!$C$3:$C$10</definedName>
    <definedName name="SOWStatus">[10]Sheet1!$C$3:$C$10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8" l="1"/>
  <c r="I18" i="8" l="1"/>
  <c r="I17" i="8"/>
  <c r="I21" i="8"/>
  <c r="I16" i="8"/>
  <c r="I15" i="8"/>
  <c r="I12" i="8"/>
  <c r="I10" i="8"/>
  <c r="I9" i="8"/>
  <c r="I8" i="8"/>
  <c r="BD53" i="25"/>
  <c r="BA53" i="25"/>
  <c r="AX53" i="25"/>
  <c r="AR53" i="25"/>
  <c r="AO53" i="25"/>
  <c r="AI53" i="25"/>
  <c r="AF53" i="25"/>
  <c r="AC53" i="25"/>
  <c r="Z53" i="25"/>
  <c r="W53" i="25"/>
  <c r="T53" i="25"/>
  <c r="Q53" i="25"/>
  <c r="N53" i="25"/>
  <c r="K53" i="25"/>
  <c r="H53" i="25"/>
  <c r="G53" i="25"/>
  <c r="BE52" i="25"/>
  <c r="BB52" i="25"/>
  <c r="AY52" i="25"/>
  <c r="AV52" i="25"/>
  <c r="AS52" i="25"/>
  <c r="AT52" i="25" s="1"/>
  <c r="AW52" i="25" s="1"/>
  <c r="AZ52" i="25" s="1"/>
  <c r="BC52" i="25" s="1"/>
  <c r="BF52" i="25" s="1"/>
  <c r="BE51" i="25"/>
  <c r="BB51" i="25"/>
  <c r="AY51" i="25"/>
  <c r="AV51" i="25"/>
  <c r="AS51" i="25"/>
  <c r="AP51" i="25"/>
  <c r="AM51" i="25"/>
  <c r="AJ51" i="25"/>
  <c r="AG51" i="25"/>
  <c r="AD51" i="25"/>
  <c r="AA51" i="25"/>
  <c r="X51" i="25"/>
  <c r="U51" i="25"/>
  <c r="R51" i="25"/>
  <c r="O51" i="25"/>
  <c r="L51" i="25"/>
  <c r="I51" i="25"/>
  <c r="J51" i="25" s="1"/>
  <c r="M51" i="25" s="1"/>
  <c r="P51" i="25" s="1"/>
  <c r="S51" i="25" s="1"/>
  <c r="V51" i="25" s="1"/>
  <c r="Y51" i="25" s="1"/>
  <c r="AB51" i="25" s="1"/>
  <c r="AE51" i="25" s="1"/>
  <c r="AH51" i="25" s="1"/>
  <c r="AK51" i="25" s="1"/>
  <c r="AN51" i="25" s="1"/>
  <c r="AQ51" i="25" s="1"/>
  <c r="AT51" i="25" s="1"/>
  <c r="AW51" i="25" s="1"/>
  <c r="AZ51" i="25" s="1"/>
  <c r="BC51" i="25" s="1"/>
  <c r="BF51" i="25" s="1"/>
  <c r="BE50" i="25"/>
  <c r="BB50" i="25"/>
  <c r="AY50" i="25"/>
  <c r="AV50" i="25"/>
  <c r="AS50" i="25"/>
  <c r="AP50" i="25"/>
  <c r="AM50" i="25"/>
  <c r="AJ50" i="25"/>
  <c r="AG50" i="25"/>
  <c r="AD50" i="25"/>
  <c r="AA50" i="25"/>
  <c r="X50" i="25"/>
  <c r="U50" i="25"/>
  <c r="R50" i="25"/>
  <c r="O50" i="25"/>
  <c r="L50" i="25"/>
  <c r="I50" i="25"/>
  <c r="J50" i="25" s="1"/>
  <c r="M50" i="25" s="1"/>
  <c r="P50" i="25" s="1"/>
  <c r="S50" i="25" s="1"/>
  <c r="V50" i="25" s="1"/>
  <c r="Y50" i="25" s="1"/>
  <c r="AB50" i="25" s="1"/>
  <c r="AE50" i="25" s="1"/>
  <c r="AH50" i="25" s="1"/>
  <c r="AK50" i="25" s="1"/>
  <c r="AN50" i="25" s="1"/>
  <c r="AQ50" i="25" s="1"/>
  <c r="AT50" i="25" s="1"/>
  <c r="AW50" i="25" s="1"/>
  <c r="AZ50" i="25" s="1"/>
  <c r="BC50" i="25" s="1"/>
  <c r="BF50" i="25" s="1"/>
  <c r="BE49" i="25"/>
  <c r="BB49" i="25"/>
  <c r="AY49" i="25"/>
  <c r="AV49" i="25"/>
  <c r="AS49" i="25"/>
  <c r="AP49" i="25"/>
  <c r="AM49" i="25"/>
  <c r="AJ49" i="25"/>
  <c r="AG49" i="25"/>
  <c r="AD49" i="25"/>
  <c r="AA49" i="25"/>
  <c r="X49" i="25"/>
  <c r="U49" i="25"/>
  <c r="R49" i="25"/>
  <c r="O49" i="25"/>
  <c r="L49" i="25"/>
  <c r="I49" i="25"/>
  <c r="J49" i="25" s="1"/>
  <c r="M49" i="25" s="1"/>
  <c r="P49" i="25" s="1"/>
  <c r="S49" i="25" s="1"/>
  <c r="V49" i="25" s="1"/>
  <c r="Y49" i="25" s="1"/>
  <c r="AB49" i="25" s="1"/>
  <c r="AE49" i="25" s="1"/>
  <c r="AH49" i="25" s="1"/>
  <c r="AK49" i="25" s="1"/>
  <c r="AN49" i="25" s="1"/>
  <c r="AQ49" i="25" s="1"/>
  <c r="AT49" i="25" s="1"/>
  <c r="AW49" i="25" s="1"/>
  <c r="AZ49" i="25" s="1"/>
  <c r="BC49" i="25" s="1"/>
  <c r="BF49" i="25" s="1"/>
  <c r="L48" i="25"/>
  <c r="I48" i="25"/>
  <c r="J48" i="25" s="1"/>
  <c r="M48" i="25" s="1"/>
  <c r="P48" i="25" s="1"/>
  <c r="S48" i="25" s="1"/>
  <c r="V48" i="25" s="1"/>
  <c r="Y48" i="25" s="1"/>
  <c r="AB48" i="25" s="1"/>
  <c r="AE48" i="25" s="1"/>
  <c r="AH48" i="25" s="1"/>
  <c r="AK48" i="25" s="1"/>
  <c r="AN48" i="25" s="1"/>
  <c r="AQ48" i="25" s="1"/>
  <c r="AT48" i="25" s="1"/>
  <c r="AW48" i="25" s="1"/>
  <c r="AZ48" i="25" s="1"/>
  <c r="BC48" i="25" s="1"/>
  <c r="BF48" i="25" s="1"/>
  <c r="BB47" i="25"/>
  <c r="AY47" i="25"/>
  <c r="AV47" i="25"/>
  <c r="AS47" i="25"/>
  <c r="AP47" i="25"/>
  <c r="AM47" i="25"/>
  <c r="AJ47" i="25"/>
  <c r="AG47" i="25"/>
  <c r="AD47" i="25"/>
  <c r="AA47" i="25"/>
  <c r="X47" i="25"/>
  <c r="U47" i="25"/>
  <c r="J47" i="25"/>
  <c r="M47" i="25" s="1"/>
  <c r="P47" i="25" s="1"/>
  <c r="S47" i="25" s="1"/>
  <c r="V47" i="25" s="1"/>
  <c r="Y47" i="25" s="1"/>
  <c r="AB47" i="25" s="1"/>
  <c r="AE47" i="25" s="1"/>
  <c r="AH47" i="25" s="1"/>
  <c r="AK47" i="25" s="1"/>
  <c r="AN47" i="25" s="1"/>
  <c r="AQ47" i="25" s="1"/>
  <c r="AT47" i="25" s="1"/>
  <c r="AW47" i="25" s="1"/>
  <c r="AZ47" i="25" s="1"/>
  <c r="BC47" i="25" s="1"/>
  <c r="BF47" i="25" s="1"/>
  <c r="F46" i="25"/>
  <c r="BE45" i="25"/>
  <c r="BB45" i="25"/>
  <c r="AY45" i="25"/>
  <c r="AV45" i="25"/>
  <c r="AS45" i="25"/>
  <c r="AP45" i="25"/>
  <c r="AM45" i="25"/>
  <c r="AJ45" i="25"/>
  <c r="AG45" i="25"/>
  <c r="AD45" i="25"/>
  <c r="AA45" i="25"/>
  <c r="X45" i="25"/>
  <c r="U45" i="25"/>
  <c r="R45" i="25"/>
  <c r="O45" i="25"/>
  <c r="L45" i="25"/>
  <c r="I45" i="25"/>
  <c r="J45" i="25" s="1"/>
  <c r="M45" i="25" s="1"/>
  <c r="P45" i="25" s="1"/>
  <c r="S45" i="25" s="1"/>
  <c r="V45" i="25" s="1"/>
  <c r="Y45" i="25" s="1"/>
  <c r="AB45" i="25" s="1"/>
  <c r="AE45" i="25" s="1"/>
  <c r="AH45" i="25" s="1"/>
  <c r="AK45" i="25" s="1"/>
  <c r="AN45" i="25" s="1"/>
  <c r="AQ45" i="25" s="1"/>
  <c r="AT45" i="25" s="1"/>
  <c r="AW45" i="25" s="1"/>
  <c r="AZ45" i="25" s="1"/>
  <c r="BC45" i="25" s="1"/>
  <c r="BF45" i="25" s="1"/>
  <c r="BE44" i="25"/>
  <c r="BB44" i="25"/>
  <c r="AY44" i="25"/>
  <c r="AV44" i="25"/>
  <c r="AS44" i="25"/>
  <c r="AP44" i="25"/>
  <c r="AM44" i="25"/>
  <c r="J44" i="25"/>
  <c r="M44" i="25" s="1"/>
  <c r="P44" i="25" s="1"/>
  <c r="S44" i="25" s="1"/>
  <c r="V44" i="25" s="1"/>
  <c r="Y44" i="25" s="1"/>
  <c r="AB44" i="25" s="1"/>
  <c r="AE44" i="25" s="1"/>
  <c r="AH44" i="25" s="1"/>
  <c r="AK44" i="25" s="1"/>
  <c r="AN44" i="25" s="1"/>
  <c r="AQ44" i="25" s="1"/>
  <c r="AT44" i="25" s="1"/>
  <c r="AW44" i="25" s="1"/>
  <c r="AZ44" i="25" s="1"/>
  <c r="BC44" i="25" s="1"/>
  <c r="BF44" i="25" s="1"/>
  <c r="BE43" i="25"/>
  <c r="BB43" i="25"/>
  <c r="AY43" i="25"/>
  <c r="AT43" i="25"/>
  <c r="AW43" i="25" s="1"/>
  <c r="AZ43" i="25" s="1"/>
  <c r="BC43" i="25" s="1"/>
  <c r="BF43" i="25" s="1"/>
  <c r="BE42" i="25"/>
  <c r="BB42" i="25"/>
  <c r="AY42" i="25"/>
  <c r="AT42" i="25"/>
  <c r="AW42" i="25" s="1"/>
  <c r="AZ42" i="25" s="1"/>
  <c r="BC42" i="25" s="1"/>
  <c r="BF42" i="25" s="1"/>
  <c r="BE41" i="25"/>
  <c r="BB41" i="25"/>
  <c r="AY41" i="25"/>
  <c r="AT41" i="25"/>
  <c r="AW41" i="25" s="1"/>
  <c r="AZ41" i="25" s="1"/>
  <c r="BC41" i="25" s="1"/>
  <c r="BF41" i="25" s="1"/>
  <c r="AT40" i="25"/>
  <c r="AW40" i="25" s="1"/>
  <c r="AZ40" i="25" s="1"/>
  <c r="BC40" i="25" s="1"/>
  <c r="BF40" i="25" s="1"/>
  <c r="BE39" i="25"/>
  <c r="BB39" i="25"/>
  <c r="AY39" i="25"/>
  <c r="AV39" i="25"/>
  <c r="AS39" i="25"/>
  <c r="AQ39" i="25"/>
  <c r="AT39" i="25" s="1"/>
  <c r="AW39" i="25" s="1"/>
  <c r="AZ39" i="25" s="1"/>
  <c r="BC39" i="25" s="1"/>
  <c r="BF39" i="25" s="1"/>
  <c r="BE38" i="25"/>
  <c r="BB38" i="25"/>
  <c r="AY38" i="25"/>
  <c r="AV38" i="25"/>
  <c r="AS38" i="25"/>
  <c r="J38" i="25"/>
  <c r="M38" i="25" s="1"/>
  <c r="P38" i="25" s="1"/>
  <c r="S38" i="25" s="1"/>
  <c r="V38" i="25" s="1"/>
  <c r="Y38" i="25" s="1"/>
  <c r="AB38" i="25" s="1"/>
  <c r="AE38" i="25" s="1"/>
  <c r="AH38" i="25" s="1"/>
  <c r="AK38" i="25" s="1"/>
  <c r="AN38" i="25" s="1"/>
  <c r="AQ38" i="25" s="1"/>
  <c r="AT38" i="25" s="1"/>
  <c r="AW38" i="25" s="1"/>
  <c r="AZ38" i="25" s="1"/>
  <c r="BC38" i="25" s="1"/>
  <c r="BF38" i="25" s="1"/>
  <c r="BE37" i="25"/>
  <c r="BB37" i="25"/>
  <c r="AY37" i="25"/>
  <c r="AV37" i="25"/>
  <c r="AS37" i="25"/>
  <c r="AP37" i="25"/>
  <c r="AM37" i="25"/>
  <c r="AJ37" i="25"/>
  <c r="AG37" i="25"/>
  <c r="AD37" i="25"/>
  <c r="AA37" i="25"/>
  <c r="X37" i="25"/>
  <c r="U37" i="25"/>
  <c r="R37" i="25"/>
  <c r="O37" i="25"/>
  <c r="L37" i="25"/>
  <c r="I37" i="25"/>
  <c r="J37" i="25" s="1"/>
  <c r="M37" i="25" s="1"/>
  <c r="P37" i="25" s="1"/>
  <c r="S37" i="25" s="1"/>
  <c r="V37" i="25" s="1"/>
  <c r="Y37" i="25" s="1"/>
  <c r="AB37" i="25" s="1"/>
  <c r="AE37" i="25" s="1"/>
  <c r="AH37" i="25" s="1"/>
  <c r="AK37" i="25" s="1"/>
  <c r="AN37" i="25" s="1"/>
  <c r="AQ37" i="25" s="1"/>
  <c r="AT37" i="25" s="1"/>
  <c r="AW37" i="25" s="1"/>
  <c r="AZ37" i="25" s="1"/>
  <c r="BC37" i="25" s="1"/>
  <c r="BF37" i="25" s="1"/>
  <c r="BE36" i="25"/>
  <c r="BB36" i="25"/>
  <c r="BC36" i="25" s="1"/>
  <c r="BF36" i="25" s="1"/>
  <c r="BE35" i="25"/>
  <c r="BB35" i="25"/>
  <c r="AY35" i="25"/>
  <c r="AV35" i="25"/>
  <c r="AS35" i="25"/>
  <c r="AM35" i="25"/>
  <c r="AJ35" i="25"/>
  <c r="AG35" i="25"/>
  <c r="AD35" i="25"/>
  <c r="AA35" i="25"/>
  <c r="X35" i="25"/>
  <c r="U35" i="25"/>
  <c r="R35" i="25"/>
  <c r="O35" i="25"/>
  <c r="L35" i="25"/>
  <c r="I35" i="25"/>
  <c r="J35" i="25" s="1"/>
  <c r="M35" i="25" s="1"/>
  <c r="P35" i="25" s="1"/>
  <c r="S35" i="25" s="1"/>
  <c r="V35" i="25" s="1"/>
  <c r="Y35" i="25" s="1"/>
  <c r="AB35" i="25" s="1"/>
  <c r="AE35" i="25" s="1"/>
  <c r="AH35" i="25" s="1"/>
  <c r="AK35" i="25" s="1"/>
  <c r="AN35" i="25" s="1"/>
  <c r="AQ35" i="25" s="1"/>
  <c r="AT35" i="25" s="1"/>
  <c r="AW35" i="25" s="1"/>
  <c r="AZ35" i="25" s="1"/>
  <c r="BC35" i="25" s="1"/>
  <c r="BF35" i="25" s="1"/>
  <c r="BE34" i="25"/>
  <c r="BB34" i="25"/>
  <c r="AY34" i="25"/>
  <c r="AV34" i="25"/>
  <c r="AS34" i="25"/>
  <c r="AP34" i="25"/>
  <c r="AM34" i="25"/>
  <c r="AJ34" i="25"/>
  <c r="AG34" i="25"/>
  <c r="AD34" i="25"/>
  <c r="AA34" i="25"/>
  <c r="X34" i="25"/>
  <c r="U34" i="25"/>
  <c r="R34" i="25"/>
  <c r="O34" i="25"/>
  <c r="L34" i="25"/>
  <c r="I34" i="25"/>
  <c r="J34" i="25" s="1"/>
  <c r="M34" i="25" s="1"/>
  <c r="P34" i="25" s="1"/>
  <c r="S34" i="25" s="1"/>
  <c r="V34" i="25" s="1"/>
  <c r="Y34" i="25" s="1"/>
  <c r="AB34" i="25" s="1"/>
  <c r="AE34" i="25" s="1"/>
  <c r="AH34" i="25" s="1"/>
  <c r="AK34" i="25" s="1"/>
  <c r="AN34" i="25" s="1"/>
  <c r="AQ34" i="25" s="1"/>
  <c r="AT34" i="25" s="1"/>
  <c r="AW34" i="25" s="1"/>
  <c r="AZ34" i="25" s="1"/>
  <c r="BC34" i="25" s="1"/>
  <c r="BF34" i="25" s="1"/>
  <c r="F33" i="25"/>
  <c r="AY32" i="25"/>
  <c r="AV32" i="25"/>
  <c r="AS32" i="25"/>
  <c r="AP32" i="25"/>
  <c r="AM32" i="25"/>
  <c r="AJ32" i="25"/>
  <c r="AG32" i="25"/>
  <c r="AD32" i="25"/>
  <c r="AA32" i="25"/>
  <c r="X32" i="25"/>
  <c r="U32" i="25"/>
  <c r="R32" i="25"/>
  <c r="O32" i="25"/>
  <c r="L32" i="25"/>
  <c r="I32" i="25"/>
  <c r="J32" i="25" s="1"/>
  <c r="M32" i="25" s="1"/>
  <c r="P32" i="25" s="1"/>
  <c r="S32" i="25" s="1"/>
  <c r="V32" i="25" s="1"/>
  <c r="Y32" i="25" s="1"/>
  <c r="AB32" i="25" s="1"/>
  <c r="AE32" i="25" s="1"/>
  <c r="AH32" i="25" s="1"/>
  <c r="AK32" i="25" s="1"/>
  <c r="AN32" i="25" s="1"/>
  <c r="AQ32" i="25" s="1"/>
  <c r="AT32" i="25" s="1"/>
  <c r="AW32" i="25" s="1"/>
  <c r="AZ32" i="25" s="1"/>
  <c r="BC32" i="25" s="1"/>
  <c r="BF32" i="25" s="1"/>
  <c r="AG31" i="25"/>
  <c r="AD31" i="25"/>
  <c r="AA31" i="25"/>
  <c r="X31" i="25"/>
  <c r="U31" i="25"/>
  <c r="R31" i="25"/>
  <c r="O31" i="25"/>
  <c r="L31" i="25"/>
  <c r="I31" i="25"/>
  <c r="J31" i="25" s="1"/>
  <c r="M31" i="25" s="1"/>
  <c r="P31" i="25" s="1"/>
  <c r="S31" i="25" s="1"/>
  <c r="V31" i="25" s="1"/>
  <c r="Y31" i="25" s="1"/>
  <c r="AB31" i="25" s="1"/>
  <c r="AE31" i="25" s="1"/>
  <c r="AH31" i="25" s="1"/>
  <c r="AK31" i="25" s="1"/>
  <c r="AN31" i="25" s="1"/>
  <c r="AQ31" i="25" s="1"/>
  <c r="AT31" i="25" s="1"/>
  <c r="AW31" i="25" s="1"/>
  <c r="AZ31" i="25" s="1"/>
  <c r="BC31" i="25" s="1"/>
  <c r="BF31" i="25" s="1"/>
  <c r="AS30" i="25"/>
  <c r="AP30" i="25"/>
  <c r="AM30" i="25"/>
  <c r="AJ30" i="25"/>
  <c r="AG30" i="25"/>
  <c r="AD30" i="25"/>
  <c r="AA30" i="25"/>
  <c r="X30" i="25"/>
  <c r="U30" i="25"/>
  <c r="R30" i="25"/>
  <c r="O30" i="25"/>
  <c r="L30" i="25"/>
  <c r="I30" i="25"/>
  <c r="J30" i="25" s="1"/>
  <c r="M30" i="25" s="1"/>
  <c r="P30" i="25" s="1"/>
  <c r="S30" i="25" s="1"/>
  <c r="V30" i="25" s="1"/>
  <c r="Y30" i="25" s="1"/>
  <c r="AB30" i="25" s="1"/>
  <c r="AE30" i="25" s="1"/>
  <c r="AH30" i="25" s="1"/>
  <c r="AK30" i="25" s="1"/>
  <c r="AN30" i="25" s="1"/>
  <c r="AQ30" i="25" s="1"/>
  <c r="AT30" i="25" s="1"/>
  <c r="AW30" i="25" s="1"/>
  <c r="AZ30" i="25" s="1"/>
  <c r="BC30" i="25" s="1"/>
  <c r="BF30" i="25" s="1"/>
  <c r="BE29" i="25"/>
  <c r="BB29" i="25"/>
  <c r="AY29" i="25"/>
  <c r="AV29" i="25"/>
  <c r="AS29" i="25"/>
  <c r="AP29" i="25"/>
  <c r="AM29" i="25"/>
  <c r="AJ29" i="25"/>
  <c r="AG29" i="25"/>
  <c r="AD29" i="25"/>
  <c r="AA29" i="25"/>
  <c r="X29" i="25"/>
  <c r="U29" i="25"/>
  <c r="R29" i="25"/>
  <c r="O29" i="25"/>
  <c r="L29" i="25"/>
  <c r="I29" i="25"/>
  <c r="J29" i="25" s="1"/>
  <c r="M29" i="25" s="1"/>
  <c r="P29" i="25" s="1"/>
  <c r="S29" i="25" s="1"/>
  <c r="V29" i="25" s="1"/>
  <c r="Y29" i="25" s="1"/>
  <c r="AB29" i="25" s="1"/>
  <c r="AE29" i="25" s="1"/>
  <c r="AH29" i="25" s="1"/>
  <c r="AK29" i="25" s="1"/>
  <c r="AN29" i="25" s="1"/>
  <c r="AQ29" i="25" s="1"/>
  <c r="AT29" i="25" s="1"/>
  <c r="AW29" i="25" s="1"/>
  <c r="AZ29" i="25" s="1"/>
  <c r="BC29" i="25" s="1"/>
  <c r="BF29" i="25" s="1"/>
  <c r="I28" i="25"/>
  <c r="J28" i="25" s="1"/>
  <c r="M28" i="25" s="1"/>
  <c r="P28" i="25" s="1"/>
  <c r="S28" i="25" s="1"/>
  <c r="V28" i="25" s="1"/>
  <c r="Y28" i="25" s="1"/>
  <c r="AB28" i="25" s="1"/>
  <c r="AE28" i="25" s="1"/>
  <c r="AH28" i="25" s="1"/>
  <c r="AK28" i="25" s="1"/>
  <c r="AN28" i="25" s="1"/>
  <c r="AQ28" i="25" s="1"/>
  <c r="AT28" i="25" s="1"/>
  <c r="AW28" i="25" s="1"/>
  <c r="AZ28" i="25" s="1"/>
  <c r="BC28" i="25" s="1"/>
  <c r="BF28" i="25" s="1"/>
  <c r="BE27" i="25"/>
  <c r="BB27" i="25"/>
  <c r="AY27" i="25"/>
  <c r="AV27" i="25"/>
  <c r="AS27" i="25"/>
  <c r="AP27" i="25"/>
  <c r="AM27" i="25"/>
  <c r="AJ27" i="25"/>
  <c r="AG27" i="25"/>
  <c r="AD27" i="25"/>
  <c r="AA27" i="25"/>
  <c r="X27" i="25"/>
  <c r="U27" i="25"/>
  <c r="R27" i="25"/>
  <c r="O27" i="25"/>
  <c r="L27" i="25"/>
  <c r="I27" i="25"/>
  <c r="J27" i="25" s="1"/>
  <c r="M27" i="25" s="1"/>
  <c r="P27" i="25" s="1"/>
  <c r="S27" i="25" s="1"/>
  <c r="V27" i="25" s="1"/>
  <c r="Y27" i="25" s="1"/>
  <c r="AB27" i="25" s="1"/>
  <c r="AE27" i="25" s="1"/>
  <c r="AH27" i="25" s="1"/>
  <c r="AK27" i="25" s="1"/>
  <c r="AN27" i="25" s="1"/>
  <c r="AQ27" i="25" s="1"/>
  <c r="AT27" i="25" s="1"/>
  <c r="AW27" i="25" s="1"/>
  <c r="AZ27" i="25" s="1"/>
  <c r="BC27" i="25" s="1"/>
  <c r="BF27" i="25" s="1"/>
  <c r="BE26" i="25"/>
  <c r="BB26" i="25"/>
  <c r="AY26" i="25"/>
  <c r="AV26" i="25"/>
  <c r="AS26" i="25"/>
  <c r="AP26" i="25"/>
  <c r="AM26" i="25"/>
  <c r="AJ26" i="25"/>
  <c r="AG26" i="25"/>
  <c r="AD26" i="25"/>
  <c r="AA26" i="25"/>
  <c r="X26" i="25"/>
  <c r="U26" i="25"/>
  <c r="R26" i="25"/>
  <c r="O26" i="25"/>
  <c r="L26" i="25"/>
  <c r="I26" i="25"/>
  <c r="J26" i="25" s="1"/>
  <c r="M26" i="25" s="1"/>
  <c r="P26" i="25" s="1"/>
  <c r="S26" i="25" s="1"/>
  <c r="V26" i="25" s="1"/>
  <c r="Y26" i="25" s="1"/>
  <c r="AB26" i="25" s="1"/>
  <c r="AE26" i="25" s="1"/>
  <c r="AH26" i="25" s="1"/>
  <c r="AK26" i="25" s="1"/>
  <c r="AN26" i="25" s="1"/>
  <c r="AQ26" i="25" s="1"/>
  <c r="AT26" i="25" s="1"/>
  <c r="AW26" i="25" s="1"/>
  <c r="AZ26" i="25" s="1"/>
  <c r="BC26" i="25" s="1"/>
  <c r="BF26" i="25" s="1"/>
  <c r="BE25" i="25"/>
  <c r="BB25" i="25"/>
  <c r="AY25" i="25"/>
  <c r="AV25" i="25"/>
  <c r="AS25" i="25"/>
  <c r="AP25" i="25"/>
  <c r="AM25" i="25"/>
  <c r="AJ25" i="25"/>
  <c r="AG25" i="25"/>
  <c r="AD25" i="25"/>
  <c r="AA25" i="25"/>
  <c r="X25" i="25"/>
  <c r="U25" i="25"/>
  <c r="R25" i="25"/>
  <c r="O25" i="25"/>
  <c r="L25" i="25"/>
  <c r="I25" i="25"/>
  <c r="J25" i="25" s="1"/>
  <c r="M25" i="25" s="1"/>
  <c r="P25" i="25" s="1"/>
  <c r="S25" i="25" s="1"/>
  <c r="V25" i="25" s="1"/>
  <c r="Y25" i="25" s="1"/>
  <c r="AB25" i="25" s="1"/>
  <c r="AE25" i="25" s="1"/>
  <c r="AH25" i="25" s="1"/>
  <c r="AK25" i="25" s="1"/>
  <c r="AN25" i="25" s="1"/>
  <c r="AQ25" i="25" s="1"/>
  <c r="AT25" i="25" s="1"/>
  <c r="AW25" i="25" s="1"/>
  <c r="AZ25" i="25" s="1"/>
  <c r="BC25" i="25" s="1"/>
  <c r="BF25" i="25" s="1"/>
  <c r="BE24" i="25"/>
  <c r="BB24" i="25"/>
  <c r="AY24" i="25"/>
  <c r="AV24" i="25"/>
  <c r="AS24" i="25"/>
  <c r="AP24" i="25"/>
  <c r="AM24" i="25"/>
  <c r="AJ24" i="25"/>
  <c r="AG24" i="25"/>
  <c r="AD24" i="25"/>
  <c r="AA24" i="25"/>
  <c r="X24" i="25"/>
  <c r="U24" i="25"/>
  <c r="R24" i="25"/>
  <c r="O24" i="25"/>
  <c r="L24" i="25"/>
  <c r="I24" i="25"/>
  <c r="J24" i="25" s="1"/>
  <c r="M24" i="25" s="1"/>
  <c r="P24" i="25" s="1"/>
  <c r="S24" i="25" s="1"/>
  <c r="V24" i="25" s="1"/>
  <c r="Y24" i="25" s="1"/>
  <c r="AB24" i="25" s="1"/>
  <c r="AE24" i="25" s="1"/>
  <c r="AH24" i="25" s="1"/>
  <c r="AK24" i="25" s="1"/>
  <c r="AN24" i="25" s="1"/>
  <c r="AQ24" i="25" s="1"/>
  <c r="AT24" i="25" s="1"/>
  <c r="AW24" i="25" s="1"/>
  <c r="AZ24" i="25" s="1"/>
  <c r="BC24" i="25" s="1"/>
  <c r="BF24" i="25" s="1"/>
  <c r="AL23" i="25"/>
  <c r="AL53" i="25" s="1"/>
  <c r="AJ23" i="25"/>
  <c r="AG23" i="25"/>
  <c r="AD23" i="25"/>
  <c r="AA23" i="25"/>
  <c r="X23" i="25"/>
  <c r="U23" i="25"/>
  <c r="R23" i="25"/>
  <c r="O23" i="25"/>
  <c r="L23" i="25"/>
  <c r="I23" i="25"/>
  <c r="J23" i="25" s="1"/>
  <c r="M23" i="25" s="1"/>
  <c r="P23" i="25" s="1"/>
  <c r="S23" i="25" s="1"/>
  <c r="V23" i="25" s="1"/>
  <c r="Y23" i="25" s="1"/>
  <c r="AB23" i="25" s="1"/>
  <c r="AE23" i="25" s="1"/>
  <c r="AH23" i="25" s="1"/>
  <c r="AK23" i="25" s="1"/>
  <c r="AN23" i="25" s="1"/>
  <c r="AQ23" i="25" s="1"/>
  <c r="AT23" i="25" s="1"/>
  <c r="AW23" i="25" s="1"/>
  <c r="AZ23" i="25" s="1"/>
  <c r="BC23" i="25" s="1"/>
  <c r="BF23" i="25" s="1"/>
  <c r="AS22" i="25"/>
  <c r="AP22" i="25"/>
  <c r="AM22" i="25"/>
  <c r="AJ22" i="25"/>
  <c r="AG22" i="25"/>
  <c r="AD22" i="25"/>
  <c r="AA22" i="25"/>
  <c r="X22" i="25"/>
  <c r="U22" i="25"/>
  <c r="R22" i="25"/>
  <c r="O22" i="25"/>
  <c r="L22" i="25"/>
  <c r="I22" i="25"/>
  <c r="J22" i="25" s="1"/>
  <c r="M22" i="25" s="1"/>
  <c r="P22" i="25" s="1"/>
  <c r="S22" i="25" s="1"/>
  <c r="V22" i="25" s="1"/>
  <c r="Y22" i="25" s="1"/>
  <c r="AB22" i="25" s="1"/>
  <c r="AE22" i="25" s="1"/>
  <c r="AH22" i="25" s="1"/>
  <c r="AK22" i="25" s="1"/>
  <c r="AN22" i="25" s="1"/>
  <c r="AQ22" i="25" s="1"/>
  <c r="AT22" i="25" s="1"/>
  <c r="AW22" i="25" s="1"/>
  <c r="AZ22" i="25" s="1"/>
  <c r="BC22" i="25" s="1"/>
  <c r="BF22" i="25" s="1"/>
  <c r="BE21" i="25"/>
  <c r="BB21" i="25"/>
  <c r="AY21" i="25"/>
  <c r="AV21" i="25"/>
  <c r="AS21" i="25"/>
  <c r="AP21" i="25"/>
  <c r="AM21" i="25"/>
  <c r="AJ21" i="25"/>
  <c r="AG21" i="25"/>
  <c r="AD21" i="25"/>
  <c r="AA21" i="25"/>
  <c r="X21" i="25"/>
  <c r="U21" i="25"/>
  <c r="R21" i="25"/>
  <c r="O21" i="25"/>
  <c r="L21" i="25"/>
  <c r="I21" i="25"/>
  <c r="J21" i="25" s="1"/>
  <c r="M21" i="25" s="1"/>
  <c r="P21" i="25" s="1"/>
  <c r="S21" i="25" s="1"/>
  <c r="V21" i="25" s="1"/>
  <c r="Y21" i="25" s="1"/>
  <c r="AB21" i="25" s="1"/>
  <c r="AE21" i="25" s="1"/>
  <c r="AH21" i="25" s="1"/>
  <c r="AK21" i="25" s="1"/>
  <c r="AN21" i="25" s="1"/>
  <c r="AQ21" i="25" s="1"/>
  <c r="AT21" i="25" s="1"/>
  <c r="AW21" i="25" s="1"/>
  <c r="AZ21" i="25" s="1"/>
  <c r="BC21" i="25" s="1"/>
  <c r="BF21" i="25" s="1"/>
  <c r="BE20" i="25"/>
  <c r="BB20" i="25"/>
  <c r="AY20" i="25"/>
  <c r="AT20" i="25"/>
  <c r="AW20" i="25" s="1"/>
  <c r="AZ20" i="25" s="1"/>
  <c r="BC20" i="25" s="1"/>
  <c r="BF20" i="25" s="1"/>
  <c r="BE19" i="25"/>
  <c r="BB19" i="25"/>
  <c r="AY19" i="25"/>
  <c r="AV19" i="25"/>
  <c r="AU19" i="25"/>
  <c r="AU53" i="25" s="1"/>
  <c r="J19" i="25"/>
  <c r="M19" i="25" s="1"/>
  <c r="P19" i="25" s="1"/>
  <c r="S19" i="25" s="1"/>
  <c r="V19" i="25" s="1"/>
  <c r="Y19" i="25" s="1"/>
  <c r="AB19" i="25" s="1"/>
  <c r="AE19" i="25" s="1"/>
  <c r="AH19" i="25" s="1"/>
  <c r="AK19" i="25" s="1"/>
  <c r="AN19" i="25" s="1"/>
  <c r="AQ19" i="25" s="1"/>
  <c r="AT19" i="25" s="1"/>
  <c r="AW19" i="25" s="1"/>
  <c r="AZ19" i="25" s="1"/>
  <c r="BC19" i="25" s="1"/>
  <c r="BF19" i="25" s="1"/>
  <c r="BE18" i="25"/>
  <c r="BB18" i="25"/>
  <c r="AY18" i="25"/>
  <c r="AV18" i="25"/>
  <c r="AS18" i="25"/>
  <c r="AP18" i="25"/>
  <c r="AM18" i="25"/>
  <c r="AJ18" i="25"/>
  <c r="AG18" i="25"/>
  <c r="AD18" i="25"/>
  <c r="AE18" i="25" s="1"/>
  <c r="AH18" i="25" s="1"/>
  <c r="AK18" i="25" s="1"/>
  <c r="AN18" i="25" s="1"/>
  <c r="AQ18" i="25" s="1"/>
  <c r="AT18" i="25" s="1"/>
  <c r="AW18" i="25" s="1"/>
  <c r="AZ18" i="25" s="1"/>
  <c r="BC18" i="25" s="1"/>
  <c r="BF18" i="25" s="1"/>
  <c r="AA17" i="25"/>
  <c r="X17" i="25"/>
  <c r="U17" i="25"/>
  <c r="R17" i="25"/>
  <c r="O17" i="25"/>
  <c r="L17" i="25"/>
  <c r="I17" i="25"/>
  <c r="J17" i="25" s="1"/>
  <c r="M17" i="25" s="1"/>
  <c r="P17" i="25" s="1"/>
  <c r="S17" i="25" s="1"/>
  <c r="V17" i="25" s="1"/>
  <c r="Y17" i="25" s="1"/>
  <c r="AB17" i="25" s="1"/>
  <c r="AE17" i="25" s="1"/>
  <c r="AH17" i="25" s="1"/>
  <c r="AK17" i="25" s="1"/>
  <c r="AN17" i="25" s="1"/>
  <c r="AQ17" i="25" s="1"/>
  <c r="AT17" i="25" s="1"/>
  <c r="AW17" i="25" s="1"/>
  <c r="AZ17" i="25" s="1"/>
  <c r="BC17" i="25" s="1"/>
  <c r="BF17" i="25" s="1"/>
  <c r="BE16" i="25"/>
  <c r="BB16" i="25"/>
  <c r="AY16" i="25"/>
  <c r="AV16" i="25"/>
  <c r="AS16" i="25"/>
  <c r="AP16" i="25"/>
  <c r="J16" i="25"/>
  <c r="M16" i="25" s="1"/>
  <c r="P16" i="25" s="1"/>
  <c r="S16" i="25" s="1"/>
  <c r="V16" i="25" s="1"/>
  <c r="Y16" i="25" s="1"/>
  <c r="AB16" i="25" s="1"/>
  <c r="AE16" i="25" s="1"/>
  <c r="AH16" i="25" s="1"/>
  <c r="AK16" i="25" s="1"/>
  <c r="AN16" i="25" s="1"/>
  <c r="AQ16" i="25" s="1"/>
  <c r="AT16" i="25" s="1"/>
  <c r="AW16" i="25" s="1"/>
  <c r="AZ16" i="25" s="1"/>
  <c r="BC16" i="25" s="1"/>
  <c r="BF16" i="25" s="1"/>
  <c r="BE15" i="25"/>
  <c r="BB15" i="25"/>
  <c r="AY15" i="25"/>
  <c r="AV15" i="25"/>
  <c r="AS15" i="25"/>
  <c r="AP15" i="25"/>
  <c r="AM15" i="25"/>
  <c r="AJ15" i="25"/>
  <c r="AG15" i="25"/>
  <c r="AD15" i="25"/>
  <c r="AA15" i="25"/>
  <c r="X15" i="25"/>
  <c r="U15" i="25"/>
  <c r="R15" i="25"/>
  <c r="O15" i="25"/>
  <c r="L15" i="25"/>
  <c r="I15" i="25"/>
  <c r="J15" i="25" s="1"/>
  <c r="M15" i="25" s="1"/>
  <c r="P15" i="25" s="1"/>
  <c r="S15" i="25" s="1"/>
  <c r="V15" i="25" s="1"/>
  <c r="Y15" i="25" s="1"/>
  <c r="AB15" i="25" s="1"/>
  <c r="AE15" i="25" s="1"/>
  <c r="AH15" i="25" s="1"/>
  <c r="AK15" i="25" s="1"/>
  <c r="AN15" i="25" s="1"/>
  <c r="AQ15" i="25" s="1"/>
  <c r="AT15" i="25" s="1"/>
  <c r="AW15" i="25" s="1"/>
  <c r="AZ15" i="25" s="1"/>
  <c r="BC15" i="25" s="1"/>
  <c r="BF15" i="25" s="1"/>
  <c r="BE14" i="25"/>
  <c r="BB14" i="25"/>
  <c r="AY14" i="25"/>
  <c r="AV14" i="25"/>
  <c r="AS14" i="25"/>
  <c r="AP14" i="25"/>
  <c r="AM14" i="25"/>
  <c r="AJ14" i="25"/>
  <c r="AG14" i="25"/>
  <c r="AD14" i="25"/>
  <c r="AA14" i="25"/>
  <c r="X14" i="25"/>
  <c r="U14" i="25"/>
  <c r="R14" i="25"/>
  <c r="O14" i="25"/>
  <c r="L14" i="25"/>
  <c r="I14" i="25"/>
  <c r="J14" i="25" s="1"/>
  <c r="M14" i="25" s="1"/>
  <c r="P14" i="25" s="1"/>
  <c r="S14" i="25" s="1"/>
  <c r="V14" i="25" s="1"/>
  <c r="Y14" i="25" s="1"/>
  <c r="AB14" i="25" s="1"/>
  <c r="AE14" i="25" s="1"/>
  <c r="AH14" i="25" s="1"/>
  <c r="AK14" i="25" s="1"/>
  <c r="AN14" i="25" s="1"/>
  <c r="AQ14" i="25" s="1"/>
  <c r="AT14" i="25" s="1"/>
  <c r="AW14" i="25" s="1"/>
  <c r="AZ14" i="25" s="1"/>
  <c r="BC14" i="25" s="1"/>
  <c r="BF14" i="25" s="1"/>
  <c r="AA13" i="25"/>
  <c r="X13" i="25"/>
  <c r="U13" i="25"/>
  <c r="R13" i="25"/>
  <c r="O13" i="25"/>
  <c r="L13" i="25"/>
  <c r="I13" i="25"/>
  <c r="J13" i="25" s="1"/>
  <c r="M13" i="25" s="1"/>
  <c r="P13" i="25" s="1"/>
  <c r="S13" i="25" s="1"/>
  <c r="V13" i="25" s="1"/>
  <c r="Y13" i="25" s="1"/>
  <c r="AB13" i="25" s="1"/>
  <c r="AE13" i="25" s="1"/>
  <c r="AH13" i="25" s="1"/>
  <c r="AK13" i="25" s="1"/>
  <c r="AN13" i="25" s="1"/>
  <c r="AQ13" i="25" s="1"/>
  <c r="AT13" i="25" s="1"/>
  <c r="AW13" i="25" s="1"/>
  <c r="AZ13" i="25" s="1"/>
  <c r="BC13" i="25" s="1"/>
  <c r="BF13" i="25" s="1"/>
  <c r="BE12" i="25"/>
  <c r="BB12" i="25"/>
  <c r="AY12" i="25"/>
  <c r="AV12" i="25"/>
  <c r="AS12" i="25"/>
  <c r="AP12" i="25"/>
  <c r="AM12" i="25"/>
  <c r="AJ12" i="25"/>
  <c r="AG12" i="25"/>
  <c r="AD12" i="25"/>
  <c r="AA12" i="25"/>
  <c r="X12" i="25"/>
  <c r="U12" i="25"/>
  <c r="R12" i="25"/>
  <c r="O12" i="25"/>
  <c r="L12" i="25"/>
  <c r="I12" i="25"/>
  <c r="J12" i="25" s="1"/>
  <c r="M12" i="25" s="1"/>
  <c r="P12" i="25" s="1"/>
  <c r="S12" i="25" s="1"/>
  <c r="V12" i="25" s="1"/>
  <c r="Y12" i="25" s="1"/>
  <c r="AB12" i="25" s="1"/>
  <c r="AE12" i="25" s="1"/>
  <c r="AH12" i="25" s="1"/>
  <c r="AK12" i="25" s="1"/>
  <c r="AN12" i="25" s="1"/>
  <c r="AQ12" i="25" s="1"/>
  <c r="AT12" i="25" s="1"/>
  <c r="AW12" i="25" s="1"/>
  <c r="AZ12" i="25" s="1"/>
  <c r="BC12" i="25" s="1"/>
  <c r="BF12" i="25" s="1"/>
  <c r="BE11" i="25"/>
  <c r="BB11" i="25"/>
  <c r="AY11" i="25"/>
  <c r="AV11" i="25"/>
  <c r="AS11" i="25"/>
  <c r="AP11" i="25"/>
  <c r="AM11" i="25"/>
  <c r="AJ11" i="25"/>
  <c r="AG11" i="25"/>
  <c r="AD11" i="25"/>
  <c r="AA11" i="25"/>
  <c r="X11" i="25"/>
  <c r="U11" i="25"/>
  <c r="R11" i="25"/>
  <c r="O11" i="25"/>
  <c r="L11" i="25"/>
  <c r="I11" i="25"/>
  <c r="J11" i="25" s="1"/>
  <c r="M11" i="25" s="1"/>
  <c r="P11" i="25" s="1"/>
  <c r="S11" i="25" s="1"/>
  <c r="V11" i="25" s="1"/>
  <c r="Y11" i="25" s="1"/>
  <c r="AB11" i="25" s="1"/>
  <c r="AE11" i="25" s="1"/>
  <c r="AH11" i="25" s="1"/>
  <c r="AK11" i="25" s="1"/>
  <c r="AN11" i="25" s="1"/>
  <c r="AQ11" i="25" s="1"/>
  <c r="AT11" i="25" s="1"/>
  <c r="AW11" i="25" s="1"/>
  <c r="AZ11" i="25" s="1"/>
  <c r="BC11" i="25" s="1"/>
  <c r="BF11" i="25" s="1"/>
  <c r="BE10" i="25"/>
  <c r="BB10" i="25"/>
  <c r="AY10" i="25"/>
  <c r="AV10" i="25"/>
  <c r="AS10" i="25"/>
  <c r="AP10" i="25"/>
  <c r="AM10" i="25"/>
  <c r="AJ10" i="25"/>
  <c r="AG10" i="25"/>
  <c r="AD10" i="25"/>
  <c r="AA10" i="25"/>
  <c r="X10" i="25"/>
  <c r="U10" i="25"/>
  <c r="R10" i="25"/>
  <c r="O10" i="25"/>
  <c r="L10" i="25"/>
  <c r="I10" i="25"/>
  <c r="J10" i="25" s="1"/>
  <c r="M10" i="25" s="1"/>
  <c r="P10" i="25" s="1"/>
  <c r="S10" i="25" s="1"/>
  <c r="V10" i="25" s="1"/>
  <c r="Y10" i="25" s="1"/>
  <c r="AB10" i="25" s="1"/>
  <c r="AE10" i="25" s="1"/>
  <c r="AH10" i="25" s="1"/>
  <c r="AK10" i="25" s="1"/>
  <c r="AN10" i="25" s="1"/>
  <c r="AQ10" i="25" s="1"/>
  <c r="AT10" i="25" s="1"/>
  <c r="AW10" i="25" s="1"/>
  <c r="AZ10" i="25" s="1"/>
  <c r="BC10" i="25" s="1"/>
  <c r="BF10" i="25" s="1"/>
  <c r="BE9" i="25"/>
  <c r="BB9" i="25"/>
  <c r="AY9" i="25"/>
  <c r="AV9" i="25"/>
  <c r="AS9" i="25"/>
  <c r="AP9" i="25"/>
  <c r="AM9" i="25"/>
  <c r="AJ9" i="25"/>
  <c r="AG9" i="25"/>
  <c r="AD9" i="25"/>
  <c r="AA9" i="25"/>
  <c r="X9" i="25"/>
  <c r="U9" i="25"/>
  <c r="R9" i="25"/>
  <c r="O9" i="25"/>
  <c r="L9" i="25"/>
  <c r="I9" i="25"/>
  <c r="J9" i="25" s="1"/>
  <c r="M9" i="25" s="1"/>
  <c r="P9" i="25" s="1"/>
  <c r="S9" i="25" s="1"/>
  <c r="V9" i="25" s="1"/>
  <c r="Y9" i="25" s="1"/>
  <c r="AB9" i="25" s="1"/>
  <c r="AE9" i="25" s="1"/>
  <c r="AH9" i="25" s="1"/>
  <c r="AK9" i="25" s="1"/>
  <c r="AN9" i="25" s="1"/>
  <c r="AQ9" i="25" s="1"/>
  <c r="AT9" i="25" s="1"/>
  <c r="AW9" i="25" s="1"/>
  <c r="AZ9" i="25" s="1"/>
  <c r="BC9" i="25" s="1"/>
  <c r="BF9" i="25" s="1"/>
  <c r="BE8" i="25"/>
  <c r="BB8" i="25"/>
  <c r="AY8" i="25"/>
  <c r="AV8" i="25"/>
  <c r="AS8" i="25"/>
  <c r="AP8" i="25"/>
  <c r="AM8" i="25"/>
  <c r="AJ8" i="25"/>
  <c r="AG8" i="25"/>
  <c r="AD8" i="25"/>
  <c r="AA8" i="25"/>
  <c r="X8" i="25"/>
  <c r="U8" i="25"/>
  <c r="R8" i="25"/>
  <c r="O8" i="25"/>
  <c r="L8" i="25"/>
  <c r="I8" i="25"/>
  <c r="J8" i="25" s="1"/>
  <c r="M8" i="25" s="1"/>
  <c r="P8" i="25" s="1"/>
  <c r="S8" i="25" s="1"/>
  <c r="V8" i="25" s="1"/>
  <c r="Y8" i="25" s="1"/>
  <c r="AB8" i="25" s="1"/>
  <c r="AE8" i="25" s="1"/>
  <c r="AH8" i="25" s="1"/>
  <c r="AK8" i="25" s="1"/>
  <c r="AN8" i="25" s="1"/>
  <c r="AQ8" i="25" s="1"/>
  <c r="AT8" i="25" s="1"/>
  <c r="AW8" i="25" s="1"/>
  <c r="AZ8" i="25" s="1"/>
  <c r="BC8" i="25" s="1"/>
  <c r="BF8" i="25" s="1"/>
  <c r="BE7" i="25"/>
  <c r="BB7" i="25"/>
  <c r="AY7" i="25"/>
  <c r="AV7" i="25"/>
  <c r="AS7" i="25"/>
  <c r="AP7" i="25"/>
  <c r="AM7" i="25"/>
  <c r="AJ7" i="25"/>
  <c r="AG7" i="25"/>
  <c r="AD7" i="25"/>
  <c r="AA7" i="25"/>
  <c r="J7" i="25"/>
  <c r="M7" i="25" s="1"/>
  <c r="P7" i="25" s="1"/>
  <c r="S7" i="25" s="1"/>
  <c r="V7" i="25" s="1"/>
  <c r="Y7" i="25" s="1"/>
  <c r="AB7" i="25" s="1"/>
  <c r="AE7" i="25" s="1"/>
  <c r="AH7" i="25" s="1"/>
  <c r="AK7" i="25" s="1"/>
  <c r="AN7" i="25" s="1"/>
  <c r="AQ7" i="25" s="1"/>
  <c r="AT7" i="25" s="1"/>
  <c r="AW7" i="25" s="1"/>
  <c r="AZ7" i="25" s="1"/>
  <c r="BC7" i="25" s="1"/>
  <c r="BF7" i="25" s="1"/>
  <c r="BE6" i="25"/>
  <c r="BB6" i="25"/>
  <c r="AY6" i="25"/>
  <c r="AV6" i="25"/>
  <c r="AS6" i="25"/>
  <c r="AP6" i="25"/>
  <c r="AM6" i="25"/>
  <c r="AJ6" i="25"/>
  <c r="AG6" i="25"/>
  <c r="AD6" i="25"/>
  <c r="AA6" i="25"/>
  <c r="X6" i="25"/>
  <c r="U6" i="25"/>
  <c r="R6" i="25"/>
  <c r="O6" i="25"/>
  <c r="L6" i="25"/>
  <c r="J6" i="25"/>
  <c r="M6" i="25" s="1"/>
  <c r="P6" i="25" s="1"/>
  <c r="S6" i="25" s="1"/>
  <c r="V6" i="25" s="1"/>
  <c r="Y6" i="25" s="1"/>
  <c r="AB6" i="25" s="1"/>
  <c r="AE6" i="25" s="1"/>
  <c r="AH6" i="25" s="1"/>
  <c r="AK6" i="25" s="1"/>
  <c r="AN6" i="25" s="1"/>
  <c r="AQ6" i="25" s="1"/>
  <c r="AT6" i="25" s="1"/>
  <c r="AW6" i="25" s="1"/>
  <c r="AZ6" i="25" s="1"/>
  <c r="BC6" i="25" s="1"/>
  <c r="BF6" i="25" s="1"/>
  <c r="BE5" i="25"/>
  <c r="BB5" i="25"/>
  <c r="AY5" i="25"/>
  <c r="AV5" i="25"/>
  <c r="AS5" i="25"/>
  <c r="AP5" i="25"/>
  <c r="AN5" i="25"/>
  <c r="AQ5" i="25" s="1"/>
  <c r="AT5" i="25" s="1"/>
  <c r="AW5" i="25" s="1"/>
  <c r="AZ5" i="25" s="1"/>
  <c r="BC5" i="25" s="1"/>
  <c r="BF5" i="25" s="1"/>
  <c r="R4" i="25"/>
  <c r="O4" i="25"/>
  <c r="L4" i="25"/>
  <c r="I4" i="25"/>
  <c r="K279" i="26"/>
  <c r="L278" i="26"/>
  <c r="M278" i="26" s="1"/>
  <c r="L277" i="26"/>
  <c r="M277" i="26" s="1"/>
  <c r="M276" i="26"/>
  <c r="M279" i="26" s="1"/>
  <c r="L276" i="26"/>
  <c r="L279" i="26" s="1"/>
  <c r="K271" i="26"/>
  <c r="L270" i="26"/>
  <c r="M270" i="26" s="1"/>
  <c r="L269" i="26"/>
  <c r="M269" i="26" s="1"/>
  <c r="L268" i="26"/>
  <c r="M268" i="26" s="1"/>
  <c r="L267" i="26"/>
  <c r="M267" i="26" s="1"/>
  <c r="L266" i="26"/>
  <c r="M266" i="26" s="1"/>
  <c r="L265" i="26"/>
  <c r="M265" i="26" s="1"/>
  <c r="M271" i="26" s="1"/>
  <c r="L262" i="26"/>
  <c r="L271" i="26" s="1"/>
  <c r="K237" i="26"/>
  <c r="L236" i="26"/>
  <c r="M236" i="26" s="1"/>
  <c r="L235" i="26"/>
  <c r="M235" i="26" s="1"/>
  <c r="L234" i="26"/>
  <c r="M234" i="26" s="1"/>
  <c r="L233" i="26"/>
  <c r="M233" i="26" s="1"/>
  <c r="L232" i="26"/>
  <c r="M232" i="26" s="1"/>
  <c r="L231" i="26"/>
  <c r="M231" i="26" s="1"/>
  <c r="L230" i="26"/>
  <c r="M230" i="26" s="1"/>
  <c r="L229" i="26"/>
  <c r="M229" i="26" s="1"/>
  <c r="L228" i="26"/>
  <c r="M228" i="26" s="1"/>
  <c r="L227" i="26"/>
  <c r="M227" i="26" s="1"/>
  <c r="M237" i="26" s="1"/>
  <c r="L226" i="26"/>
  <c r="L237" i="26" s="1"/>
  <c r="K223" i="26"/>
  <c r="M222" i="26"/>
  <c r="L222" i="26"/>
  <c r="L221" i="26"/>
  <c r="M221" i="26" s="1"/>
  <c r="L220" i="26"/>
  <c r="L176" i="26"/>
  <c r="K164" i="26"/>
  <c r="L162" i="26"/>
  <c r="M162" i="26" s="1"/>
  <c r="L161" i="26"/>
  <c r="M161" i="26" s="1"/>
  <c r="L160" i="26"/>
  <c r="M160" i="26" s="1"/>
  <c r="L159" i="26"/>
  <c r="K155" i="26"/>
  <c r="M153" i="26"/>
  <c r="L152" i="26"/>
  <c r="M152" i="26" s="1"/>
  <c r="L151" i="26"/>
  <c r="M151" i="26" s="1"/>
  <c r="L150" i="26"/>
  <c r="M150" i="26" s="1"/>
  <c r="L149" i="26"/>
  <c r="M149" i="26" s="1"/>
  <c r="L148" i="26"/>
  <c r="M147" i="26"/>
  <c r="D145" i="26"/>
  <c r="D146" i="26" s="1"/>
  <c r="L109" i="26"/>
  <c r="K102" i="26"/>
  <c r="D102" i="26"/>
  <c r="D103" i="26" s="1"/>
  <c r="L100" i="26"/>
  <c r="M100" i="26" s="1"/>
  <c r="M99" i="26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88" i="26"/>
  <c r="L88" i="26"/>
  <c r="K88" i="26"/>
  <c r="K75" i="26"/>
  <c r="M73" i="26"/>
  <c r="L72" i="26"/>
  <c r="M72" i="26" s="1"/>
  <c r="L71" i="26"/>
  <c r="M71" i="26" s="1"/>
  <c r="L70" i="26"/>
  <c r="M70" i="26" s="1"/>
  <c r="L69" i="26"/>
  <c r="M69" i="26" s="1"/>
  <c r="M68" i="26"/>
  <c r="L67" i="26"/>
  <c r="D42" i="26"/>
  <c r="D43" i="26" s="1"/>
  <c r="K37" i="26"/>
  <c r="L31" i="26"/>
  <c r="M31" i="26" s="1"/>
  <c r="L30" i="26"/>
  <c r="M27" i="26"/>
  <c r="L27" i="26"/>
  <c r="K27" i="26"/>
  <c r="K13" i="26"/>
  <c r="L10" i="26"/>
  <c r="M10" i="26" s="1"/>
  <c r="L9" i="26"/>
  <c r="M9" i="26" s="1"/>
  <c r="L8" i="26"/>
  <c r="M8" i="26" s="1"/>
  <c r="L7" i="26"/>
  <c r="M7" i="26" s="1"/>
  <c r="L6" i="26"/>
  <c r="M5" i="26"/>
  <c r="M4" i="26"/>
  <c r="E528" i="27"/>
  <c r="E527" i="27"/>
  <c r="E526" i="27"/>
  <c r="E538" i="27" s="1"/>
  <c r="E494" i="27"/>
  <c r="E482" i="27"/>
  <c r="E481" i="27"/>
  <c r="E480" i="27"/>
  <c r="E478" i="27"/>
  <c r="E477" i="27"/>
  <c r="E476" i="27"/>
  <c r="E475" i="27"/>
  <c r="E474" i="27"/>
  <c r="E473" i="27"/>
  <c r="E472" i="27"/>
  <c r="E471" i="27"/>
  <c r="E470" i="27"/>
  <c r="E483" i="27" s="1"/>
  <c r="E468" i="27"/>
  <c r="E466" i="27"/>
  <c r="E464" i="27"/>
  <c r="E462" i="27"/>
  <c r="E460" i="27"/>
  <c r="E458" i="27"/>
  <c r="E456" i="27"/>
  <c r="E454" i="27"/>
  <c r="E453" i="27"/>
  <c r="E451" i="27"/>
  <c r="E450" i="27"/>
  <c r="E448" i="27"/>
  <c r="E447" i="27"/>
  <c r="E446" i="27"/>
  <c r="E444" i="27"/>
  <c r="E443" i="27"/>
  <c r="E442" i="27"/>
  <c r="E440" i="27"/>
  <c r="E439" i="27"/>
  <c r="E438" i="27"/>
  <c r="E437" i="27"/>
  <c r="E436" i="27"/>
  <c r="E435" i="27"/>
  <c r="E434" i="27"/>
  <c r="E433" i="27"/>
  <c r="E432" i="27"/>
  <c r="E431" i="27"/>
  <c r="E430" i="27"/>
  <c r="E429" i="27"/>
  <c r="E428" i="27"/>
  <c r="E427" i="27"/>
  <c r="E426" i="27"/>
  <c r="E425" i="27"/>
  <c r="E424" i="27"/>
  <c r="E423" i="27"/>
  <c r="E422" i="27"/>
  <c r="E421" i="27"/>
  <c r="E420" i="27"/>
  <c r="E419" i="27"/>
  <c r="E418" i="27"/>
  <c r="E417" i="27"/>
  <c r="E416" i="27"/>
  <c r="E415" i="27"/>
  <c r="E414" i="27"/>
  <c r="E413" i="27"/>
  <c r="E412" i="27"/>
  <c r="E411" i="27"/>
  <c r="E410" i="27"/>
  <c r="E409" i="27"/>
  <c r="E408" i="27"/>
  <c r="E407" i="27"/>
  <c r="E406" i="27"/>
  <c r="E405" i="27"/>
  <c r="E404" i="27"/>
  <c r="E403" i="27"/>
  <c r="E402" i="27"/>
  <c r="E401" i="27"/>
  <c r="E400" i="27"/>
  <c r="E399" i="27"/>
  <c r="E398" i="27"/>
  <c r="E397" i="27"/>
  <c r="E396" i="27"/>
  <c r="E395" i="27"/>
  <c r="E394" i="27"/>
  <c r="E393" i="27"/>
  <c r="E392" i="27"/>
  <c r="E391" i="27"/>
  <c r="E390" i="27"/>
  <c r="E389" i="27"/>
  <c r="E388" i="27"/>
  <c r="E387" i="27"/>
  <c r="E386" i="27"/>
  <c r="E385" i="27"/>
  <c r="E384" i="27"/>
  <c r="E383" i="27"/>
  <c r="E382" i="27"/>
  <c r="E381" i="27"/>
  <c r="E380" i="27"/>
  <c r="E379" i="27"/>
  <c r="E378" i="27"/>
  <c r="E377" i="27"/>
  <c r="E376" i="27"/>
  <c r="E375" i="27"/>
  <c r="E365" i="27"/>
  <c r="E373" i="27" s="1"/>
  <c r="E361" i="27"/>
  <c r="E338" i="27"/>
  <c r="E329" i="27"/>
  <c r="E324" i="27"/>
  <c r="F258" i="27"/>
  <c r="E258" i="27"/>
  <c r="D258" i="27"/>
  <c r="E251" i="27"/>
  <c r="D251" i="27"/>
  <c r="E238" i="27"/>
  <c r="E243" i="27" s="1"/>
  <c r="D186" i="27"/>
  <c r="D162" i="27"/>
  <c r="D153" i="27"/>
  <c r="D130" i="27"/>
  <c r="D175" i="27" s="1"/>
  <c r="D116" i="27"/>
  <c r="D113" i="27"/>
  <c r="D127" i="27" s="1"/>
  <c r="D76" i="27"/>
  <c r="M69" i="30"/>
  <c r="L69" i="30"/>
  <c r="K69" i="30"/>
  <c r="J69" i="30"/>
  <c r="I69" i="30"/>
  <c r="H69" i="30"/>
  <c r="G69" i="30"/>
  <c r="F69" i="30"/>
  <c r="E69" i="30"/>
  <c r="D69" i="30"/>
  <c r="C69" i="30"/>
  <c r="B69" i="30"/>
  <c r="N69" i="30" s="1"/>
  <c r="M68" i="30"/>
  <c r="L68" i="30"/>
  <c r="K68" i="30"/>
  <c r="J68" i="30"/>
  <c r="I68" i="30"/>
  <c r="H68" i="30"/>
  <c r="G68" i="30"/>
  <c r="F68" i="30"/>
  <c r="E68" i="30"/>
  <c r="D68" i="30"/>
  <c r="C68" i="30"/>
  <c r="B68" i="30"/>
  <c r="N68" i="30" s="1"/>
  <c r="M67" i="30"/>
  <c r="L67" i="30"/>
  <c r="K67" i="30"/>
  <c r="J67" i="30"/>
  <c r="I67" i="30"/>
  <c r="H67" i="30"/>
  <c r="G67" i="30"/>
  <c r="F67" i="30"/>
  <c r="E67" i="30"/>
  <c r="D67" i="30"/>
  <c r="C67" i="30"/>
  <c r="B67" i="30"/>
  <c r="N67" i="30" s="1"/>
  <c r="M66" i="30"/>
  <c r="M70" i="30" s="1"/>
  <c r="L66" i="30"/>
  <c r="L70" i="30" s="1"/>
  <c r="K66" i="30"/>
  <c r="K70" i="30" s="1"/>
  <c r="J66" i="30"/>
  <c r="J70" i="30" s="1"/>
  <c r="I66" i="30"/>
  <c r="I70" i="30" s="1"/>
  <c r="H66" i="30"/>
  <c r="H70" i="30" s="1"/>
  <c r="G66" i="30"/>
  <c r="G70" i="30" s="1"/>
  <c r="F66" i="30"/>
  <c r="F70" i="30" s="1"/>
  <c r="E66" i="30"/>
  <c r="E70" i="30" s="1"/>
  <c r="D66" i="30"/>
  <c r="D70" i="30" s="1"/>
  <c r="C66" i="30"/>
  <c r="C70" i="30" s="1"/>
  <c r="B66" i="30"/>
  <c r="N65" i="30"/>
  <c r="M62" i="30"/>
  <c r="L62" i="30"/>
  <c r="K62" i="30"/>
  <c r="J62" i="30"/>
  <c r="I62" i="30"/>
  <c r="H62" i="30"/>
  <c r="G62" i="30"/>
  <c r="F62" i="30"/>
  <c r="E62" i="30"/>
  <c r="D62" i="30"/>
  <c r="C62" i="30"/>
  <c r="B62" i="30"/>
  <c r="N62" i="30" s="1"/>
  <c r="M61" i="30"/>
  <c r="M63" i="30" s="1"/>
  <c r="L61" i="30"/>
  <c r="L63" i="30" s="1"/>
  <c r="K61" i="30"/>
  <c r="K63" i="30" s="1"/>
  <c r="J61" i="30"/>
  <c r="J63" i="30" s="1"/>
  <c r="I61" i="30"/>
  <c r="I63" i="30" s="1"/>
  <c r="H61" i="30"/>
  <c r="H63" i="30" s="1"/>
  <c r="G61" i="30"/>
  <c r="G63" i="30" s="1"/>
  <c r="F61" i="30"/>
  <c r="F63" i="30" s="1"/>
  <c r="E61" i="30"/>
  <c r="E63" i="30" s="1"/>
  <c r="D61" i="30"/>
  <c r="D63" i="30" s="1"/>
  <c r="C61" i="30"/>
  <c r="C63" i="30" s="1"/>
  <c r="B61" i="30"/>
  <c r="N60" i="30"/>
  <c r="M59" i="30"/>
  <c r="L59" i="30"/>
  <c r="K59" i="30"/>
  <c r="J59" i="30"/>
  <c r="I59" i="30"/>
  <c r="H59" i="30"/>
  <c r="G59" i="30"/>
  <c r="F59" i="30"/>
  <c r="E59" i="30"/>
  <c r="D59" i="30"/>
  <c r="C59" i="30"/>
  <c r="B59" i="30"/>
  <c r="N59" i="30" s="1"/>
  <c r="M58" i="30"/>
  <c r="M64" i="30" s="1"/>
  <c r="L58" i="30"/>
  <c r="L64" i="30" s="1"/>
  <c r="K58" i="30"/>
  <c r="K64" i="30" s="1"/>
  <c r="J58" i="30"/>
  <c r="J64" i="30" s="1"/>
  <c r="I58" i="30"/>
  <c r="I64" i="30" s="1"/>
  <c r="H58" i="30"/>
  <c r="H64" i="30" s="1"/>
  <c r="G58" i="30"/>
  <c r="G64" i="30" s="1"/>
  <c r="F58" i="30"/>
  <c r="F64" i="30" s="1"/>
  <c r="E58" i="30"/>
  <c r="E64" i="30" s="1"/>
  <c r="D58" i="30"/>
  <c r="D64" i="30" s="1"/>
  <c r="C58" i="30"/>
  <c r="C64" i="30" s="1"/>
  <c r="B58" i="30"/>
  <c r="N57" i="30"/>
  <c r="M55" i="30"/>
  <c r="L55" i="30"/>
  <c r="K55" i="30"/>
  <c r="J55" i="30"/>
  <c r="I55" i="30"/>
  <c r="H55" i="30"/>
  <c r="G55" i="30"/>
  <c r="F55" i="30"/>
  <c r="E55" i="30"/>
  <c r="D55" i="30"/>
  <c r="C55" i="30"/>
  <c r="B55" i="30"/>
  <c r="N55" i="30" s="1"/>
  <c r="M54" i="30"/>
  <c r="L54" i="30"/>
  <c r="K54" i="30"/>
  <c r="J54" i="30"/>
  <c r="I54" i="30"/>
  <c r="H54" i="30"/>
  <c r="G54" i="30"/>
  <c r="F54" i="30"/>
  <c r="E54" i="30"/>
  <c r="D54" i="30"/>
  <c r="C54" i="30"/>
  <c r="B54" i="30"/>
  <c r="N54" i="30" s="1"/>
  <c r="M53" i="30"/>
  <c r="L53" i="30"/>
  <c r="K53" i="30"/>
  <c r="J53" i="30"/>
  <c r="I53" i="30"/>
  <c r="H53" i="30"/>
  <c r="G53" i="30"/>
  <c r="F53" i="30"/>
  <c r="E53" i="30"/>
  <c r="D53" i="30"/>
  <c r="C53" i="30"/>
  <c r="B53" i="30"/>
  <c r="N53" i="30" s="1"/>
  <c r="M52" i="30"/>
  <c r="L52" i="30"/>
  <c r="K52" i="30"/>
  <c r="J52" i="30"/>
  <c r="I52" i="30"/>
  <c r="H52" i="30"/>
  <c r="G52" i="30"/>
  <c r="F52" i="30"/>
  <c r="E52" i="30"/>
  <c r="D52" i="30"/>
  <c r="C52" i="30"/>
  <c r="B52" i="30"/>
  <c r="N52" i="30" s="1"/>
  <c r="M51" i="30"/>
  <c r="L51" i="30"/>
  <c r="K51" i="30"/>
  <c r="J51" i="30"/>
  <c r="I51" i="30"/>
  <c r="H51" i="30"/>
  <c r="G51" i="30"/>
  <c r="F51" i="30"/>
  <c r="E51" i="30"/>
  <c r="D51" i="30"/>
  <c r="C51" i="30"/>
  <c r="B51" i="30"/>
  <c r="N51" i="30" s="1"/>
  <c r="M50" i="30"/>
  <c r="L50" i="30"/>
  <c r="K50" i="30"/>
  <c r="J50" i="30"/>
  <c r="I50" i="30"/>
  <c r="H50" i="30"/>
  <c r="G50" i="30"/>
  <c r="F50" i="30"/>
  <c r="E50" i="30"/>
  <c r="D50" i="30"/>
  <c r="C50" i="30"/>
  <c r="B50" i="30"/>
  <c r="N50" i="30" s="1"/>
  <c r="M49" i="30"/>
  <c r="L49" i="30"/>
  <c r="K49" i="30"/>
  <c r="J49" i="30"/>
  <c r="I49" i="30"/>
  <c r="H49" i="30"/>
  <c r="G49" i="30"/>
  <c r="F49" i="30"/>
  <c r="E49" i="30"/>
  <c r="D49" i="30"/>
  <c r="C49" i="30"/>
  <c r="B49" i="30"/>
  <c r="N49" i="30" s="1"/>
  <c r="M48" i="30"/>
  <c r="L48" i="30"/>
  <c r="K48" i="30"/>
  <c r="J48" i="30"/>
  <c r="I48" i="30"/>
  <c r="H48" i="30"/>
  <c r="G48" i="30"/>
  <c r="F48" i="30"/>
  <c r="E48" i="30"/>
  <c r="D48" i="30"/>
  <c r="C48" i="30"/>
  <c r="B48" i="30"/>
  <c r="N48" i="30" s="1"/>
  <c r="M47" i="30"/>
  <c r="M56" i="30" s="1"/>
  <c r="L47" i="30"/>
  <c r="L56" i="30" s="1"/>
  <c r="K47" i="30"/>
  <c r="K56" i="30" s="1"/>
  <c r="J47" i="30"/>
  <c r="J56" i="30" s="1"/>
  <c r="I47" i="30"/>
  <c r="I56" i="30" s="1"/>
  <c r="H47" i="30"/>
  <c r="H56" i="30" s="1"/>
  <c r="G47" i="30"/>
  <c r="G56" i="30" s="1"/>
  <c r="F47" i="30"/>
  <c r="F56" i="30" s="1"/>
  <c r="E47" i="30"/>
  <c r="E56" i="30" s="1"/>
  <c r="D47" i="30"/>
  <c r="D56" i="30" s="1"/>
  <c r="C47" i="30"/>
  <c r="C56" i="30" s="1"/>
  <c r="B47" i="30"/>
  <c r="N46" i="30"/>
  <c r="M44" i="30"/>
  <c r="L44" i="30"/>
  <c r="K44" i="30"/>
  <c r="J44" i="30"/>
  <c r="I44" i="30"/>
  <c r="H44" i="30"/>
  <c r="G44" i="30"/>
  <c r="F44" i="30"/>
  <c r="E44" i="30"/>
  <c r="D44" i="30"/>
  <c r="C44" i="30"/>
  <c r="B44" i="30"/>
  <c r="N44" i="30" s="1"/>
  <c r="M43" i="30"/>
  <c r="M45" i="30" s="1"/>
  <c r="L43" i="30"/>
  <c r="L45" i="30" s="1"/>
  <c r="K43" i="30"/>
  <c r="K45" i="30" s="1"/>
  <c r="J43" i="30"/>
  <c r="J45" i="30" s="1"/>
  <c r="I43" i="30"/>
  <c r="I45" i="30" s="1"/>
  <c r="H43" i="30"/>
  <c r="H45" i="30" s="1"/>
  <c r="G43" i="30"/>
  <c r="G45" i="30" s="1"/>
  <c r="F43" i="30"/>
  <c r="F45" i="30" s="1"/>
  <c r="E43" i="30"/>
  <c r="E45" i="30" s="1"/>
  <c r="D43" i="30"/>
  <c r="D45" i="30" s="1"/>
  <c r="C43" i="30"/>
  <c r="C45" i="30" s="1"/>
  <c r="B43" i="30"/>
  <c r="N42" i="30"/>
  <c r="M40" i="30"/>
  <c r="L40" i="30"/>
  <c r="K40" i="30"/>
  <c r="J40" i="30"/>
  <c r="I40" i="30"/>
  <c r="H40" i="30"/>
  <c r="G40" i="30"/>
  <c r="F40" i="30"/>
  <c r="E40" i="30"/>
  <c r="D40" i="30"/>
  <c r="C40" i="30"/>
  <c r="B40" i="30"/>
  <c r="N40" i="30" s="1"/>
  <c r="M39" i="30"/>
  <c r="L39" i="30"/>
  <c r="K39" i="30"/>
  <c r="J39" i="30"/>
  <c r="I39" i="30"/>
  <c r="H39" i="30"/>
  <c r="G39" i="30"/>
  <c r="F39" i="30"/>
  <c r="E39" i="30"/>
  <c r="D39" i="30"/>
  <c r="C39" i="30"/>
  <c r="B39" i="30"/>
  <c r="N39" i="30" s="1"/>
  <c r="M38" i="30"/>
  <c r="L38" i="30"/>
  <c r="K38" i="30"/>
  <c r="J38" i="30"/>
  <c r="I38" i="30"/>
  <c r="H38" i="30"/>
  <c r="G38" i="30"/>
  <c r="F38" i="30"/>
  <c r="E38" i="30"/>
  <c r="D38" i="30"/>
  <c r="C38" i="30"/>
  <c r="B38" i="30"/>
  <c r="N38" i="30" s="1"/>
  <c r="M37" i="30"/>
  <c r="L37" i="30"/>
  <c r="K37" i="30"/>
  <c r="J37" i="30"/>
  <c r="I37" i="30"/>
  <c r="H37" i="30"/>
  <c r="G37" i="30"/>
  <c r="F37" i="30"/>
  <c r="E37" i="30"/>
  <c r="D37" i="30"/>
  <c r="C37" i="30"/>
  <c r="B37" i="30"/>
  <c r="N37" i="30" s="1"/>
  <c r="M36" i="30"/>
  <c r="L36" i="30"/>
  <c r="K36" i="30"/>
  <c r="J36" i="30"/>
  <c r="I36" i="30"/>
  <c r="H36" i="30"/>
  <c r="G36" i="30"/>
  <c r="F36" i="30"/>
  <c r="E36" i="30"/>
  <c r="D36" i="30"/>
  <c r="C36" i="30"/>
  <c r="B36" i="30"/>
  <c r="N36" i="30" s="1"/>
  <c r="M34" i="30"/>
  <c r="L34" i="30"/>
  <c r="K34" i="30"/>
  <c r="J34" i="30"/>
  <c r="I34" i="30"/>
  <c r="H34" i="30"/>
  <c r="G34" i="30"/>
  <c r="F34" i="30"/>
  <c r="E34" i="30"/>
  <c r="D34" i="30"/>
  <c r="C34" i="30"/>
  <c r="B34" i="30"/>
  <c r="N34" i="30" s="1"/>
  <c r="M33" i="30"/>
  <c r="L33" i="30"/>
  <c r="K33" i="30"/>
  <c r="J33" i="30"/>
  <c r="I33" i="30"/>
  <c r="H33" i="30"/>
  <c r="G33" i="30"/>
  <c r="F33" i="30"/>
  <c r="E33" i="30"/>
  <c r="D33" i="30"/>
  <c r="C33" i="30"/>
  <c r="B33" i="30"/>
  <c r="N33" i="30" s="1"/>
  <c r="M32" i="30"/>
  <c r="M35" i="30" s="1"/>
  <c r="M41" i="30" s="1"/>
  <c r="M71" i="30" s="1"/>
  <c r="L32" i="30"/>
  <c r="L35" i="30" s="1"/>
  <c r="L41" i="30" s="1"/>
  <c r="L71" i="30" s="1"/>
  <c r="K32" i="30"/>
  <c r="K35" i="30" s="1"/>
  <c r="K41" i="30" s="1"/>
  <c r="K71" i="30" s="1"/>
  <c r="J32" i="30"/>
  <c r="J35" i="30" s="1"/>
  <c r="J41" i="30" s="1"/>
  <c r="J71" i="30" s="1"/>
  <c r="I32" i="30"/>
  <c r="I35" i="30" s="1"/>
  <c r="I41" i="30" s="1"/>
  <c r="I71" i="30" s="1"/>
  <c r="H32" i="30"/>
  <c r="H35" i="30" s="1"/>
  <c r="H41" i="30" s="1"/>
  <c r="H71" i="30" s="1"/>
  <c r="G32" i="30"/>
  <c r="G35" i="30" s="1"/>
  <c r="G41" i="30" s="1"/>
  <c r="G71" i="30" s="1"/>
  <c r="F32" i="30"/>
  <c r="F35" i="30" s="1"/>
  <c r="F41" i="30" s="1"/>
  <c r="F71" i="30" s="1"/>
  <c r="E32" i="30"/>
  <c r="E35" i="30" s="1"/>
  <c r="E41" i="30" s="1"/>
  <c r="E71" i="30" s="1"/>
  <c r="D32" i="30"/>
  <c r="D35" i="30" s="1"/>
  <c r="D41" i="30" s="1"/>
  <c r="D71" i="30" s="1"/>
  <c r="C32" i="30"/>
  <c r="C35" i="30" s="1"/>
  <c r="C41" i="30" s="1"/>
  <c r="C71" i="30" s="1"/>
  <c r="B32" i="30"/>
  <c r="N31" i="30"/>
  <c r="N30" i="30"/>
  <c r="M25" i="30"/>
  <c r="M26" i="30" s="1"/>
  <c r="L25" i="30"/>
  <c r="L26" i="30" s="1"/>
  <c r="K25" i="30"/>
  <c r="K26" i="30" s="1"/>
  <c r="J25" i="30"/>
  <c r="J26" i="30" s="1"/>
  <c r="I25" i="30"/>
  <c r="I26" i="30" s="1"/>
  <c r="H25" i="30"/>
  <c r="H26" i="30" s="1"/>
  <c r="G25" i="30"/>
  <c r="G26" i="30" s="1"/>
  <c r="F25" i="30"/>
  <c r="F26" i="30" s="1"/>
  <c r="E25" i="30"/>
  <c r="E26" i="30" s="1"/>
  <c r="D25" i="30"/>
  <c r="D26" i="30" s="1"/>
  <c r="C25" i="30"/>
  <c r="C26" i="30" s="1"/>
  <c r="B25" i="30"/>
  <c r="N24" i="30"/>
  <c r="M22" i="30"/>
  <c r="L22" i="30"/>
  <c r="K22" i="30"/>
  <c r="J22" i="30"/>
  <c r="I22" i="30"/>
  <c r="H22" i="30"/>
  <c r="G22" i="30"/>
  <c r="F22" i="30"/>
  <c r="E22" i="30"/>
  <c r="D22" i="30"/>
  <c r="C22" i="30"/>
  <c r="B22" i="30"/>
  <c r="N22" i="30" s="1"/>
  <c r="M20" i="30"/>
  <c r="L20" i="30"/>
  <c r="K20" i="30"/>
  <c r="J20" i="30"/>
  <c r="I20" i="30"/>
  <c r="H20" i="30"/>
  <c r="G20" i="30"/>
  <c r="F20" i="30"/>
  <c r="E20" i="30"/>
  <c r="D20" i="30"/>
  <c r="C20" i="30"/>
  <c r="B20" i="30"/>
  <c r="N20" i="30" s="1"/>
  <c r="M19" i="30"/>
  <c r="M21" i="30" s="1"/>
  <c r="L19" i="30"/>
  <c r="L21" i="30" s="1"/>
  <c r="K19" i="30"/>
  <c r="K21" i="30" s="1"/>
  <c r="J19" i="30"/>
  <c r="J21" i="30" s="1"/>
  <c r="I19" i="30"/>
  <c r="I21" i="30" s="1"/>
  <c r="H19" i="30"/>
  <c r="H21" i="30" s="1"/>
  <c r="G19" i="30"/>
  <c r="G21" i="30" s="1"/>
  <c r="F19" i="30"/>
  <c r="F21" i="30" s="1"/>
  <c r="E19" i="30"/>
  <c r="E21" i="30" s="1"/>
  <c r="D19" i="30"/>
  <c r="D21" i="30" s="1"/>
  <c r="C19" i="30"/>
  <c r="C21" i="30" s="1"/>
  <c r="B19" i="30"/>
  <c r="N18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N17" i="30" s="1"/>
  <c r="M15" i="30"/>
  <c r="L15" i="30"/>
  <c r="K15" i="30"/>
  <c r="J15" i="30"/>
  <c r="I15" i="30"/>
  <c r="H15" i="30"/>
  <c r="G15" i="30"/>
  <c r="F15" i="30"/>
  <c r="E15" i="30"/>
  <c r="D15" i="30"/>
  <c r="C15" i="30"/>
  <c r="B15" i="30"/>
  <c r="N15" i="30" s="1"/>
  <c r="M14" i="30"/>
  <c r="M16" i="30" s="1"/>
  <c r="L14" i="30"/>
  <c r="L16" i="30" s="1"/>
  <c r="K14" i="30"/>
  <c r="K16" i="30" s="1"/>
  <c r="J14" i="30"/>
  <c r="J16" i="30" s="1"/>
  <c r="I14" i="30"/>
  <c r="I16" i="30" s="1"/>
  <c r="H14" i="30"/>
  <c r="H16" i="30" s="1"/>
  <c r="G14" i="30"/>
  <c r="G16" i="30" s="1"/>
  <c r="F14" i="30"/>
  <c r="F16" i="30" s="1"/>
  <c r="E14" i="30"/>
  <c r="E16" i="30" s="1"/>
  <c r="D14" i="30"/>
  <c r="D16" i="30" s="1"/>
  <c r="C14" i="30"/>
  <c r="C16" i="30" s="1"/>
  <c r="B14" i="30"/>
  <c r="N13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N11" i="30" s="1"/>
  <c r="M10" i="30"/>
  <c r="M12" i="30" s="1"/>
  <c r="L10" i="30"/>
  <c r="L12" i="30" s="1"/>
  <c r="K10" i="30"/>
  <c r="K12" i="30" s="1"/>
  <c r="J10" i="30"/>
  <c r="J12" i="30" s="1"/>
  <c r="I10" i="30"/>
  <c r="I12" i="30" s="1"/>
  <c r="H10" i="30"/>
  <c r="H12" i="30" s="1"/>
  <c r="G10" i="30"/>
  <c r="G12" i="30" s="1"/>
  <c r="F10" i="30"/>
  <c r="F12" i="30" s="1"/>
  <c r="E10" i="30"/>
  <c r="E12" i="30" s="1"/>
  <c r="D10" i="30"/>
  <c r="D12" i="30" s="1"/>
  <c r="C10" i="30"/>
  <c r="C12" i="30" s="1"/>
  <c r="B10" i="30"/>
  <c r="N9" i="30"/>
  <c r="M8" i="30"/>
  <c r="M23" i="30" s="1"/>
  <c r="M27" i="30" s="1"/>
  <c r="M28" i="30" s="1"/>
  <c r="M72" i="30" s="1"/>
  <c r="M73" i="30" s="1"/>
  <c r="L8" i="30"/>
  <c r="L23" i="30" s="1"/>
  <c r="L27" i="30" s="1"/>
  <c r="L28" i="30" s="1"/>
  <c r="L72" i="30" s="1"/>
  <c r="L73" i="30" s="1"/>
  <c r="K8" i="30"/>
  <c r="K23" i="30" s="1"/>
  <c r="K27" i="30" s="1"/>
  <c r="K28" i="30" s="1"/>
  <c r="K72" i="30" s="1"/>
  <c r="K73" i="30" s="1"/>
  <c r="J8" i="30"/>
  <c r="J23" i="30" s="1"/>
  <c r="J27" i="30" s="1"/>
  <c r="J28" i="30" s="1"/>
  <c r="J72" i="30" s="1"/>
  <c r="J73" i="30" s="1"/>
  <c r="I8" i="30"/>
  <c r="I23" i="30" s="1"/>
  <c r="I27" i="30" s="1"/>
  <c r="I28" i="30" s="1"/>
  <c r="I72" i="30" s="1"/>
  <c r="I73" i="30" s="1"/>
  <c r="H8" i="30"/>
  <c r="H23" i="30" s="1"/>
  <c r="H27" i="30" s="1"/>
  <c r="H28" i="30" s="1"/>
  <c r="H72" i="30" s="1"/>
  <c r="H73" i="30" s="1"/>
  <c r="G8" i="30"/>
  <c r="G23" i="30" s="1"/>
  <c r="G27" i="30" s="1"/>
  <c r="G28" i="30" s="1"/>
  <c r="G72" i="30" s="1"/>
  <c r="G73" i="30" s="1"/>
  <c r="F8" i="30"/>
  <c r="F23" i="30" s="1"/>
  <c r="F27" i="30" s="1"/>
  <c r="F28" i="30" s="1"/>
  <c r="F72" i="30" s="1"/>
  <c r="F73" i="30" s="1"/>
  <c r="E8" i="30"/>
  <c r="E23" i="30" s="1"/>
  <c r="E27" i="30" s="1"/>
  <c r="E28" i="30" s="1"/>
  <c r="E72" i="30" s="1"/>
  <c r="E73" i="30" s="1"/>
  <c r="D8" i="30"/>
  <c r="D23" i="30" s="1"/>
  <c r="D27" i="30" s="1"/>
  <c r="D28" i="30" s="1"/>
  <c r="D72" i="30" s="1"/>
  <c r="D73" i="30" s="1"/>
  <c r="C8" i="30"/>
  <c r="C23" i="30" s="1"/>
  <c r="C27" i="30" s="1"/>
  <c r="C28" i="30" s="1"/>
  <c r="C72" i="30" s="1"/>
  <c r="C73" i="30" s="1"/>
  <c r="B8" i="30"/>
  <c r="N7" i="30"/>
  <c r="C12" i="15"/>
  <c r="D11" i="15"/>
  <c r="H11" i="15" s="1"/>
  <c r="F10" i="15"/>
  <c r="E9" i="15"/>
  <c r="E12" i="15" s="1"/>
  <c r="D8" i="15"/>
  <c r="H8" i="15" s="1"/>
  <c r="D7" i="15"/>
  <c r="D12" i="15" s="1"/>
  <c r="G6" i="15"/>
  <c r="G12" i="15" s="1"/>
  <c r="S71" i="13"/>
  <c r="R71" i="13"/>
  <c r="T71" i="13" s="1"/>
  <c r="O71" i="13"/>
  <c r="N71" i="13"/>
  <c r="P71" i="13" s="1"/>
  <c r="K71" i="13"/>
  <c r="J71" i="13"/>
  <c r="L71" i="13" s="1"/>
  <c r="G71" i="13"/>
  <c r="F71" i="13"/>
  <c r="H71" i="13" s="1"/>
  <c r="C71" i="13"/>
  <c r="B71" i="13"/>
  <c r="S70" i="13"/>
  <c r="R70" i="13"/>
  <c r="T70" i="13" s="1"/>
  <c r="O70" i="13"/>
  <c r="N70" i="13"/>
  <c r="P70" i="13" s="1"/>
  <c r="K70" i="13"/>
  <c r="J70" i="13"/>
  <c r="L70" i="13" s="1"/>
  <c r="G70" i="13"/>
  <c r="F70" i="13"/>
  <c r="H70" i="13" s="1"/>
  <c r="C70" i="13"/>
  <c r="B70" i="13"/>
  <c r="S69" i="13"/>
  <c r="R69" i="13"/>
  <c r="T69" i="13" s="1"/>
  <c r="O69" i="13"/>
  <c r="N69" i="13"/>
  <c r="P69" i="13" s="1"/>
  <c r="K69" i="13"/>
  <c r="J69" i="13"/>
  <c r="L69" i="13" s="1"/>
  <c r="G69" i="13"/>
  <c r="F69" i="13"/>
  <c r="H69" i="13" s="1"/>
  <c r="C69" i="13"/>
  <c r="B69" i="13"/>
  <c r="S68" i="13"/>
  <c r="R68" i="13"/>
  <c r="O68" i="13"/>
  <c r="N68" i="13"/>
  <c r="K68" i="13"/>
  <c r="J68" i="13"/>
  <c r="G68" i="13"/>
  <c r="F68" i="13"/>
  <c r="C68" i="13"/>
  <c r="B68" i="13"/>
  <c r="W67" i="13"/>
  <c r="Y67" i="13" s="1"/>
  <c r="V67" i="13"/>
  <c r="X67" i="13" s="1"/>
  <c r="U67" i="13"/>
  <c r="T67" i="13"/>
  <c r="Q67" i="13"/>
  <c r="P67" i="13"/>
  <c r="M67" i="13"/>
  <c r="L67" i="13"/>
  <c r="I67" i="13"/>
  <c r="H67" i="13"/>
  <c r="E67" i="13"/>
  <c r="D67" i="13"/>
  <c r="S64" i="13"/>
  <c r="R64" i="13"/>
  <c r="O64" i="13"/>
  <c r="N64" i="13"/>
  <c r="K64" i="13"/>
  <c r="J64" i="13"/>
  <c r="G64" i="13"/>
  <c r="F64" i="13"/>
  <c r="C64" i="13"/>
  <c r="B64" i="13"/>
  <c r="V63" i="13"/>
  <c r="S63" i="13"/>
  <c r="O63" i="13"/>
  <c r="K63" i="13"/>
  <c r="G63" i="13"/>
  <c r="C63" i="13"/>
  <c r="W62" i="13"/>
  <c r="Y62" i="13" s="1"/>
  <c r="V62" i="13"/>
  <c r="X62" i="13" s="1"/>
  <c r="U62" i="13"/>
  <c r="T62" i="13"/>
  <c r="Q62" i="13"/>
  <c r="P62" i="13"/>
  <c r="M62" i="13"/>
  <c r="L62" i="13"/>
  <c r="I62" i="13"/>
  <c r="H62" i="13"/>
  <c r="E62" i="13"/>
  <c r="D62" i="13"/>
  <c r="S61" i="13"/>
  <c r="R61" i="13"/>
  <c r="T61" i="13" s="1"/>
  <c r="O61" i="13"/>
  <c r="N61" i="13"/>
  <c r="P61" i="13" s="1"/>
  <c r="K61" i="13"/>
  <c r="J61" i="13"/>
  <c r="L61" i="13" s="1"/>
  <c r="G61" i="13"/>
  <c r="F61" i="13"/>
  <c r="H61" i="13" s="1"/>
  <c r="C61" i="13"/>
  <c r="B61" i="13"/>
  <c r="S60" i="13"/>
  <c r="R60" i="13"/>
  <c r="O60" i="13"/>
  <c r="N60" i="13"/>
  <c r="K60" i="13"/>
  <c r="J60" i="13"/>
  <c r="G60" i="13"/>
  <c r="F60" i="13"/>
  <c r="C60" i="13"/>
  <c r="B60" i="13"/>
  <c r="W59" i="13"/>
  <c r="Y59" i="13" s="1"/>
  <c r="V59" i="13"/>
  <c r="X59" i="13" s="1"/>
  <c r="U59" i="13"/>
  <c r="T59" i="13"/>
  <c r="Q59" i="13"/>
  <c r="P59" i="13"/>
  <c r="M59" i="13"/>
  <c r="L59" i="13"/>
  <c r="I59" i="13"/>
  <c r="H59" i="13"/>
  <c r="E59" i="13"/>
  <c r="D59" i="13"/>
  <c r="S57" i="13"/>
  <c r="R57" i="13"/>
  <c r="T57" i="13" s="1"/>
  <c r="O57" i="13"/>
  <c r="N57" i="13"/>
  <c r="P57" i="13" s="1"/>
  <c r="K57" i="13"/>
  <c r="J57" i="13"/>
  <c r="L57" i="13" s="1"/>
  <c r="G57" i="13"/>
  <c r="F57" i="13"/>
  <c r="H57" i="13" s="1"/>
  <c r="C57" i="13"/>
  <c r="B57" i="13"/>
  <c r="S56" i="13"/>
  <c r="R56" i="13"/>
  <c r="T56" i="13" s="1"/>
  <c r="O56" i="13"/>
  <c r="N56" i="13"/>
  <c r="P56" i="13" s="1"/>
  <c r="K56" i="13"/>
  <c r="J56" i="13"/>
  <c r="L56" i="13" s="1"/>
  <c r="G56" i="13"/>
  <c r="F56" i="13"/>
  <c r="H56" i="13" s="1"/>
  <c r="C56" i="13"/>
  <c r="B56" i="13"/>
  <c r="S55" i="13"/>
  <c r="R55" i="13"/>
  <c r="T55" i="13" s="1"/>
  <c r="O55" i="13"/>
  <c r="N55" i="13"/>
  <c r="P55" i="13" s="1"/>
  <c r="K55" i="13"/>
  <c r="J55" i="13"/>
  <c r="L55" i="13" s="1"/>
  <c r="G55" i="13"/>
  <c r="F55" i="13"/>
  <c r="H55" i="13" s="1"/>
  <c r="C55" i="13"/>
  <c r="B55" i="13"/>
  <c r="S54" i="13"/>
  <c r="R54" i="13"/>
  <c r="T54" i="13" s="1"/>
  <c r="O54" i="13"/>
  <c r="N54" i="13"/>
  <c r="P54" i="13" s="1"/>
  <c r="K54" i="13"/>
  <c r="J54" i="13"/>
  <c r="L54" i="13" s="1"/>
  <c r="G54" i="13"/>
  <c r="F54" i="13"/>
  <c r="H54" i="13" s="1"/>
  <c r="C54" i="13"/>
  <c r="B54" i="13"/>
  <c r="S53" i="13"/>
  <c r="R53" i="13"/>
  <c r="T53" i="13" s="1"/>
  <c r="O53" i="13"/>
  <c r="N53" i="13"/>
  <c r="P53" i="13" s="1"/>
  <c r="K53" i="13"/>
  <c r="J53" i="13"/>
  <c r="L53" i="13" s="1"/>
  <c r="G53" i="13"/>
  <c r="F53" i="13"/>
  <c r="H53" i="13" s="1"/>
  <c r="C53" i="13"/>
  <c r="B53" i="13"/>
  <c r="S52" i="13"/>
  <c r="R52" i="13"/>
  <c r="T52" i="13" s="1"/>
  <c r="O52" i="13"/>
  <c r="N52" i="13"/>
  <c r="P52" i="13" s="1"/>
  <c r="K52" i="13"/>
  <c r="J52" i="13"/>
  <c r="L52" i="13" s="1"/>
  <c r="G52" i="13"/>
  <c r="F52" i="13"/>
  <c r="H52" i="13" s="1"/>
  <c r="C52" i="13"/>
  <c r="B52" i="13"/>
  <c r="S51" i="13"/>
  <c r="R51" i="13"/>
  <c r="T51" i="13" s="1"/>
  <c r="O51" i="13"/>
  <c r="N51" i="13"/>
  <c r="P51" i="13" s="1"/>
  <c r="K51" i="13"/>
  <c r="J51" i="13"/>
  <c r="L51" i="13" s="1"/>
  <c r="G51" i="13"/>
  <c r="F51" i="13"/>
  <c r="H51" i="13" s="1"/>
  <c r="C51" i="13"/>
  <c r="B51" i="13"/>
  <c r="S50" i="13"/>
  <c r="R50" i="13"/>
  <c r="O50" i="13"/>
  <c r="N50" i="13"/>
  <c r="K50" i="13"/>
  <c r="J50" i="13"/>
  <c r="G50" i="13"/>
  <c r="F50" i="13"/>
  <c r="C50" i="13"/>
  <c r="B50" i="13"/>
  <c r="V49" i="13"/>
  <c r="S49" i="13"/>
  <c r="O49" i="13"/>
  <c r="K49" i="13"/>
  <c r="G49" i="13"/>
  <c r="C49" i="13"/>
  <c r="W48" i="13"/>
  <c r="Y48" i="13" s="1"/>
  <c r="V48" i="13"/>
  <c r="X48" i="13" s="1"/>
  <c r="U48" i="13"/>
  <c r="T48" i="13"/>
  <c r="Q48" i="13"/>
  <c r="P48" i="13"/>
  <c r="M48" i="13"/>
  <c r="L48" i="13"/>
  <c r="I48" i="13"/>
  <c r="H48" i="13"/>
  <c r="E48" i="13"/>
  <c r="D48" i="13"/>
  <c r="R47" i="13"/>
  <c r="N47" i="13"/>
  <c r="F47" i="13"/>
  <c r="V46" i="13"/>
  <c r="S46" i="13"/>
  <c r="O46" i="13"/>
  <c r="K46" i="13"/>
  <c r="G46" i="13"/>
  <c r="C46" i="13"/>
  <c r="S45" i="13"/>
  <c r="O45" i="13"/>
  <c r="K45" i="13"/>
  <c r="J45" i="13"/>
  <c r="G45" i="13"/>
  <c r="C45" i="13"/>
  <c r="B45" i="13"/>
  <c r="W44" i="13"/>
  <c r="Y44" i="13" s="1"/>
  <c r="V44" i="13"/>
  <c r="X44" i="13" s="1"/>
  <c r="U44" i="13"/>
  <c r="T44" i="13"/>
  <c r="Q44" i="13"/>
  <c r="P44" i="13"/>
  <c r="M44" i="13"/>
  <c r="L44" i="13"/>
  <c r="I44" i="13"/>
  <c r="H44" i="13"/>
  <c r="E44" i="13"/>
  <c r="D44" i="13"/>
  <c r="S42" i="13"/>
  <c r="R42" i="13"/>
  <c r="T42" i="13" s="1"/>
  <c r="O42" i="13"/>
  <c r="N42" i="13"/>
  <c r="P42" i="13" s="1"/>
  <c r="K42" i="13"/>
  <c r="J42" i="13"/>
  <c r="L42" i="13" s="1"/>
  <c r="G42" i="13"/>
  <c r="F42" i="13"/>
  <c r="H42" i="13" s="1"/>
  <c r="C42" i="13"/>
  <c r="B42" i="13"/>
  <c r="S41" i="13"/>
  <c r="R41" i="13"/>
  <c r="T41" i="13" s="1"/>
  <c r="O41" i="13"/>
  <c r="N41" i="13"/>
  <c r="P41" i="13" s="1"/>
  <c r="K41" i="13"/>
  <c r="J41" i="13"/>
  <c r="L41" i="13" s="1"/>
  <c r="G41" i="13"/>
  <c r="F41" i="13"/>
  <c r="H41" i="13" s="1"/>
  <c r="C41" i="13"/>
  <c r="B41" i="13"/>
  <c r="W40" i="13"/>
  <c r="Y40" i="13" s="1"/>
  <c r="U40" i="13"/>
  <c r="T40" i="13"/>
  <c r="Q40" i="13"/>
  <c r="P40" i="13"/>
  <c r="M40" i="13"/>
  <c r="J40" i="13"/>
  <c r="I40" i="13"/>
  <c r="H40" i="13"/>
  <c r="E40" i="13"/>
  <c r="D40" i="13"/>
  <c r="S39" i="13"/>
  <c r="R39" i="13"/>
  <c r="O39" i="13"/>
  <c r="K39" i="13"/>
  <c r="G39" i="13"/>
  <c r="C39" i="13"/>
  <c r="V38" i="13"/>
  <c r="S38" i="13"/>
  <c r="O38" i="13"/>
  <c r="K38" i="13"/>
  <c r="G38" i="13"/>
  <c r="C38" i="13"/>
  <c r="S37" i="13"/>
  <c r="R37" i="13"/>
  <c r="T37" i="13" s="1"/>
  <c r="O37" i="13"/>
  <c r="N37" i="13"/>
  <c r="P37" i="13" s="1"/>
  <c r="K37" i="13"/>
  <c r="J37" i="13"/>
  <c r="L37" i="13" s="1"/>
  <c r="G37" i="13"/>
  <c r="F37" i="13"/>
  <c r="H37" i="13" s="1"/>
  <c r="C37" i="13"/>
  <c r="B37" i="13"/>
  <c r="S35" i="13"/>
  <c r="R35" i="13"/>
  <c r="T35" i="13" s="1"/>
  <c r="O35" i="13"/>
  <c r="N35" i="13"/>
  <c r="P35" i="13" s="1"/>
  <c r="K35" i="13"/>
  <c r="J35" i="13"/>
  <c r="L35" i="13" s="1"/>
  <c r="G35" i="13"/>
  <c r="F35" i="13"/>
  <c r="H35" i="13" s="1"/>
  <c r="C35" i="13"/>
  <c r="B35" i="13"/>
  <c r="S34" i="13"/>
  <c r="R34" i="13"/>
  <c r="T34" i="13" s="1"/>
  <c r="O34" i="13"/>
  <c r="N34" i="13"/>
  <c r="P34" i="13" s="1"/>
  <c r="K34" i="13"/>
  <c r="J34" i="13"/>
  <c r="L34" i="13" s="1"/>
  <c r="G34" i="13"/>
  <c r="F34" i="13"/>
  <c r="H34" i="13" s="1"/>
  <c r="C34" i="13"/>
  <c r="B34" i="13"/>
  <c r="S33" i="13"/>
  <c r="R33" i="13"/>
  <c r="O33" i="13"/>
  <c r="N33" i="13"/>
  <c r="K33" i="13"/>
  <c r="J33" i="13"/>
  <c r="G33" i="13"/>
  <c r="F33" i="13"/>
  <c r="C33" i="13"/>
  <c r="B33" i="13"/>
  <c r="W32" i="13"/>
  <c r="Y32" i="13" s="1"/>
  <c r="V32" i="13"/>
  <c r="X32" i="13" s="1"/>
  <c r="U32" i="13"/>
  <c r="T32" i="13"/>
  <c r="Q32" i="13"/>
  <c r="P32" i="13"/>
  <c r="M32" i="13"/>
  <c r="L32" i="13"/>
  <c r="I32" i="13"/>
  <c r="H32" i="13"/>
  <c r="E32" i="13"/>
  <c r="D32" i="13"/>
  <c r="W31" i="13"/>
  <c r="Y31" i="13" s="1"/>
  <c r="V31" i="13"/>
  <c r="X31" i="13" s="1"/>
  <c r="U31" i="13"/>
  <c r="T31" i="13"/>
  <c r="Q31" i="13"/>
  <c r="P31" i="13"/>
  <c r="M31" i="13"/>
  <c r="L31" i="13"/>
  <c r="I31" i="13"/>
  <c r="H31" i="13"/>
  <c r="E31" i="13"/>
  <c r="D31" i="13"/>
  <c r="R27" i="13"/>
  <c r="N27" i="13"/>
  <c r="J27" i="13"/>
  <c r="F27" i="13"/>
  <c r="B27" i="13"/>
  <c r="V26" i="13"/>
  <c r="S26" i="13"/>
  <c r="O26" i="13"/>
  <c r="K26" i="13"/>
  <c r="G26" i="13"/>
  <c r="C26" i="13"/>
  <c r="W25" i="13"/>
  <c r="Y25" i="13" s="1"/>
  <c r="V25" i="13"/>
  <c r="X25" i="13" s="1"/>
  <c r="U25" i="13"/>
  <c r="T25" i="13"/>
  <c r="Q25" i="13"/>
  <c r="P25" i="13"/>
  <c r="M25" i="13"/>
  <c r="L25" i="13"/>
  <c r="I25" i="13"/>
  <c r="H25" i="13"/>
  <c r="E25" i="13"/>
  <c r="D25" i="13"/>
  <c r="S23" i="13"/>
  <c r="R23" i="13"/>
  <c r="T23" i="13" s="1"/>
  <c r="O23" i="13"/>
  <c r="N23" i="13"/>
  <c r="P23" i="13" s="1"/>
  <c r="K23" i="13"/>
  <c r="J23" i="13"/>
  <c r="L23" i="13" s="1"/>
  <c r="G23" i="13"/>
  <c r="F23" i="13"/>
  <c r="H23" i="13" s="1"/>
  <c r="C23" i="13"/>
  <c r="B23" i="13"/>
  <c r="S21" i="13"/>
  <c r="R21" i="13"/>
  <c r="T21" i="13" s="1"/>
  <c r="O21" i="13"/>
  <c r="N21" i="13"/>
  <c r="P21" i="13" s="1"/>
  <c r="K21" i="13"/>
  <c r="J21" i="13"/>
  <c r="L21" i="13" s="1"/>
  <c r="G21" i="13"/>
  <c r="F21" i="13"/>
  <c r="H21" i="13" s="1"/>
  <c r="C21" i="13"/>
  <c r="B21" i="13"/>
  <c r="S20" i="13"/>
  <c r="R20" i="13"/>
  <c r="O20" i="13"/>
  <c r="N20" i="13"/>
  <c r="K20" i="13"/>
  <c r="J20" i="13"/>
  <c r="G20" i="13"/>
  <c r="F20" i="13"/>
  <c r="C20" i="13"/>
  <c r="B20" i="13"/>
  <c r="W19" i="13"/>
  <c r="Y19" i="13" s="1"/>
  <c r="V19" i="13"/>
  <c r="X19" i="13" s="1"/>
  <c r="U19" i="13"/>
  <c r="T19" i="13"/>
  <c r="Q19" i="13"/>
  <c r="P19" i="13"/>
  <c r="M19" i="13"/>
  <c r="L19" i="13"/>
  <c r="I19" i="13"/>
  <c r="H19" i="13"/>
  <c r="E19" i="13"/>
  <c r="D19" i="13"/>
  <c r="V18" i="13"/>
  <c r="S18" i="13"/>
  <c r="O18" i="13"/>
  <c r="K18" i="13"/>
  <c r="G18" i="13"/>
  <c r="C18" i="13"/>
  <c r="B17" i="13"/>
  <c r="S16" i="13"/>
  <c r="R16" i="13"/>
  <c r="O16" i="13"/>
  <c r="N16" i="13"/>
  <c r="K16" i="13"/>
  <c r="J16" i="13"/>
  <c r="G16" i="13"/>
  <c r="F16" i="13"/>
  <c r="C16" i="13"/>
  <c r="V15" i="13"/>
  <c r="S15" i="13"/>
  <c r="O15" i="13"/>
  <c r="K15" i="13"/>
  <c r="G15" i="13"/>
  <c r="C15" i="13"/>
  <c r="W14" i="13"/>
  <c r="Y14" i="13" s="1"/>
  <c r="V14" i="13"/>
  <c r="X14" i="13" s="1"/>
  <c r="U14" i="13"/>
  <c r="T14" i="13"/>
  <c r="Q14" i="13"/>
  <c r="P14" i="13"/>
  <c r="M14" i="13"/>
  <c r="L14" i="13"/>
  <c r="I14" i="13"/>
  <c r="H14" i="13"/>
  <c r="E14" i="13"/>
  <c r="D14" i="13"/>
  <c r="S12" i="13"/>
  <c r="R12" i="13"/>
  <c r="O12" i="13"/>
  <c r="N12" i="13"/>
  <c r="K12" i="13"/>
  <c r="J12" i="13"/>
  <c r="G12" i="13"/>
  <c r="F12" i="13"/>
  <c r="C12" i="13"/>
  <c r="B12" i="13"/>
  <c r="V11" i="13"/>
  <c r="S11" i="13"/>
  <c r="O11" i="13"/>
  <c r="K11" i="13"/>
  <c r="G11" i="13"/>
  <c r="C11" i="13"/>
  <c r="W10" i="13"/>
  <c r="Y10" i="13" s="1"/>
  <c r="V10" i="13"/>
  <c r="X10" i="13" s="1"/>
  <c r="U10" i="13"/>
  <c r="T10" i="13"/>
  <c r="Q10" i="13"/>
  <c r="P10" i="13"/>
  <c r="M10" i="13"/>
  <c r="L10" i="13"/>
  <c r="I10" i="13"/>
  <c r="H10" i="13"/>
  <c r="E10" i="13"/>
  <c r="D10" i="13"/>
  <c r="S9" i="13"/>
  <c r="R9" i="13"/>
  <c r="O9" i="13"/>
  <c r="N9" i="13"/>
  <c r="K9" i="13"/>
  <c r="J9" i="13"/>
  <c r="G9" i="13"/>
  <c r="F9" i="13"/>
  <c r="C9" i="13"/>
  <c r="B9" i="13"/>
  <c r="W8" i="13"/>
  <c r="Y8" i="13" s="1"/>
  <c r="V8" i="13"/>
  <c r="X8" i="13" s="1"/>
  <c r="U8" i="13"/>
  <c r="T8" i="13"/>
  <c r="Q8" i="13"/>
  <c r="P8" i="13"/>
  <c r="M8" i="13"/>
  <c r="L8" i="13"/>
  <c r="I8" i="13"/>
  <c r="H8" i="13"/>
  <c r="E8" i="13"/>
  <c r="D8" i="13"/>
  <c r="F68" i="1"/>
  <c r="E68" i="1"/>
  <c r="D68" i="1"/>
  <c r="C68" i="1"/>
  <c r="B68" i="1"/>
  <c r="G68" i="1" s="1"/>
  <c r="F67" i="1"/>
  <c r="E67" i="1"/>
  <c r="D67" i="1"/>
  <c r="C67" i="1"/>
  <c r="B67" i="1"/>
  <c r="G67" i="1" s="1"/>
  <c r="F66" i="1"/>
  <c r="E66" i="1"/>
  <c r="D66" i="1"/>
  <c r="C66" i="1"/>
  <c r="B66" i="1"/>
  <c r="G66" i="1" s="1"/>
  <c r="F65" i="1"/>
  <c r="F69" i="1" s="1"/>
  <c r="E65" i="1"/>
  <c r="E69" i="1" s="1"/>
  <c r="D65" i="1"/>
  <c r="D69" i="1" s="1"/>
  <c r="C65" i="1"/>
  <c r="C69" i="1" s="1"/>
  <c r="B65" i="1"/>
  <c r="G64" i="1"/>
  <c r="F61" i="1"/>
  <c r="F62" i="1" s="1"/>
  <c r="E61" i="1"/>
  <c r="E62" i="1" s="1"/>
  <c r="D61" i="1"/>
  <c r="D62" i="1" s="1"/>
  <c r="C61" i="1"/>
  <c r="C62" i="1" s="1"/>
  <c r="B61" i="1"/>
  <c r="G59" i="1"/>
  <c r="F58" i="1"/>
  <c r="E58" i="1"/>
  <c r="D58" i="1"/>
  <c r="C58" i="1"/>
  <c r="B58" i="1"/>
  <c r="G58" i="1" s="1"/>
  <c r="F57" i="1"/>
  <c r="F63" i="1" s="1"/>
  <c r="E57" i="1"/>
  <c r="E63" i="1" s="1"/>
  <c r="D57" i="1"/>
  <c r="D63" i="1" s="1"/>
  <c r="C57" i="1"/>
  <c r="C63" i="1" s="1"/>
  <c r="B57" i="1"/>
  <c r="G56" i="1"/>
  <c r="F54" i="1"/>
  <c r="E54" i="1"/>
  <c r="D54" i="1"/>
  <c r="C54" i="1"/>
  <c r="B54" i="1"/>
  <c r="G54" i="1" s="1"/>
  <c r="F53" i="1"/>
  <c r="E53" i="1"/>
  <c r="D53" i="1"/>
  <c r="C53" i="1"/>
  <c r="B53" i="1"/>
  <c r="G53" i="1" s="1"/>
  <c r="F52" i="1"/>
  <c r="E52" i="1"/>
  <c r="D52" i="1"/>
  <c r="C52" i="1"/>
  <c r="B52" i="1"/>
  <c r="G52" i="1" s="1"/>
  <c r="F51" i="1"/>
  <c r="E51" i="1"/>
  <c r="D51" i="1"/>
  <c r="C51" i="1"/>
  <c r="B51" i="1"/>
  <c r="G51" i="1" s="1"/>
  <c r="F50" i="1"/>
  <c r="E50" i="1"/>
  <c r="D50" i="1"/>
  <c r="C50" i="1"/>
  <c r="B50" i="1"/>
  <c r="G50" i="1" s="1"/>
  <c r="F49" i="1"/>
  <c r="E49" i="1"/>
  <c r="D49" i="1"/>
  <c r="C49" i="1"/>
  <c r="B49" i="1"/>
  <c r="G49" i="1" s="1"/>
  <c r="F48" i="1"/>
  <c r="E48" i="1"/>
  <c r="D48" i="1"/>
  <c r="C48" i="1"/>
  <c r="B48" i="1"/>
  <c r="G48" i="1" s="1"/>
  <c r="F47" i="1"/>
  <c r="F55" i="1" s="1"/>
  <c r="E47" i="1"/>
  <c r="E55" i="1" s="1"/>
  <c r="D47" i="1"/>
  <c r="D55" i="1" s="1"/>
  <c r="C47" i="1"/>
  <c r="C55" i="1" s="1"/>
  <c r="B47" i="1"/>
  <c r="G45" i="1"/>
  <c r="F44" i="1"/>
  <c r="E44" i="1"/>
  <c r="C44" i="1"/>
  <c r="D42" i="1"/>
  <c r="D44" i="1" s="1"/>
  <c r="B42" i="1"/>
  <c r="G41" i="1"/>
  <c r="F39" i="1"/>
  <c r="E39" i="1"/>
  <c r="D39" i="1"/>
  <c r="C39" i="1"/>
  <c r="B39" i="1"/>
  <c r="G39" i="1" s="1"/>
  <c r="F38" i="1"/>
  <c r="E38" i="1"/>
  <c r="D38" i="1"/>
  <c r="C38" i="1"/>
  <c r="B38" i="1"/>
  <c r="G38" i="1" s="1"/>
  <c r="F37" i="1"/>
  <c r="G37" i="1" s="1"/>
  <c r="F36" i="1"/>
  <c r="E36" i="1"/>
  <c r="D36" i="1"/>
  <c r="C36" i="1"/>
  <c r="B36" i="1"/>
  <c r="G36" i="1" s="1"/>
  <c r="F34" i="1"/>
  <c r="E34" i="1"/>
  <c r="D34" i="1"/>
  <c r="C34" i="1"/>
  <c r="B34" i="1"/>
  <c r="G34" i="1" s="1"/>
  <c r="F33" i="1"/>
  <c r="E33" i="1"/>
  <c r="D33" i="1"/>
  <c r="C33" i="1"/>
  <c r="B33" i="1"/>
  <c r="G33" i="1" s="1"/>
  <c r="F32" i="1"/>
  <c r="F35" i="1" s="1"/>
  <c r="F40" i="1" s="1"/>
  <c r="F70" i="1" s="1"/>
  <c r="E32" i="1"/>
  <c r="E35" i="1" s="1"/>
  <c r="E40" i="1" s="1"/>
  <c r="E70" i="1" s="1"/>
  <c r="D32" i="1"/>
  <c r="D35" i="1" s="1"/>
  <c r="D40" i="1" s="1"/>
  <c r="D70" i="1" s="1"/>
  <c r="C32" i="1"/>
  <c r="C35" i="1" s="1"/>
  <c r="C40" i="1" s="1"/>
  <c r="C70" i="1" s="1"/>
  <c r="B32" i="1"/>
  <c r="G31" i="1"/>
  <c r="G30" i="1"/>
  <c r="F22" i="1"/>
  <c r="E22" i="1"/>
  <c r="D22" i="1"/>
  <c r="C22" i="1"/>
  <c r="B22" i="1"/>
  <c r="G22" i="1" s="1"/>
  <c r="F20" i="1"/>
  <c r="E20" i="1"/>
  <c r="D20" i="1"/>
  <c r="C20" i="1"/>
  <c r="B20" i="1"/>
  <c r="G20" i="1" s="1"/>
  <c r="F19" i="1"/>
  <c r="F21" i="1" s="1"/>
  <c r="E19" i="1"/>
  <c r="E21" i="1" s="1"/>
  <c r="D19" i="1"/>
  <c r="D21" i="1" s="1"/>
  <c r="C19" i="1"/>
  <c r="C21" i="1" s="1"/>
  <c r="B19" i="1"/>
  <c r="G18" i="1"/>
  <c r="B16" i="1"/>
  <c r="F15" i="1"/>
  <c r="F16" i="1" s="1"/>
  <c r="E15" i="1"/>
  <c r="E16" i="1" s="1"/>
  <c r="D15" i="1"/>
  <c r="D16" i="1" s="1"/>
  <c r="C15" i="1"/>
  <c r="G13" i="1"/>
  <c r="F11" i="1"/>
  <c r="F12" i="1" s="1"/>
  <c r="E11" i="1"/>
  <c r="E12" i="1" s="1"/>
  <c r="D11" i="1"/>
  <c r="D12" i="1" s="1"/>
  <c r="C11" i="1"/>
  <c r="C12" i="1" s="1"/>
  <c r="B11" i="1"/>
  <c r="G9" i="1"/>
  <c r="F8" i="1"/>
  <c r="F23" i="1" s="1"/>
  <c r="F27" i="1" s="1"/>
  <c r="F28" i="1" s="1"/>
  <c r="F71" i="1" s="1"/>
  <c r="F72" i="1" s="1"/>
  <c r="E8" i="1"/>
  <c r="E23" i="1" s="1"/>
  <c r="E27" i="1" s="1"/>
  <c r="E28" i="1" s="1"/>
  <c r="E71" i="1" s="1"/>
  <c r="E72" i="1" s="1"/>
  <c r="D8" i="1"/>
  <c r="D23" i="1" s="1"/>
  <c r="D27" i="1" s="1"/>
  <c r="D28" i="1" s="1"/>
  <c r="D71" i="1" s="1"/>
  <c r="D72" i="1" s="1"/>
  <c r="C8" i="1"/>
  <c r="B8" i="1"/>
  <c r="G7" i="1"/>
  <c r="J4" i="25" l="1"/>
  <c r="BE33" i="25"/>
  <c r="BE53" i="25" s="1"/>
  <c r="BB33" i="25"/>
  <c r="BB53" i="25" s="1"/>
  <c r="AY33" i="25"/>
  <c r="AY53" i="25" s="1"/>
  <c r="AV33" i="25"/>
  <c r="AV53" i="25" s="1"/>
  <c r="AS33" i="25"/>
  <c r="AS53" i="25" s="1"/>
  <c r="AP33" i="25"/>
  <c r="AP53" i="25" s="1"/>
  <c r="AM33" i="25"/>
  <c r="AM53" i="25" s="1"/>
  <c r="AJ33" i="25"/>
  <c r="AJ53" i="25" s="1"/>
  <c r="AG33" i="25"/>
  <c r="AG53" i="25" s="1"/>
  <c r="AD33" i="25"/>
  <c r="AD53" i="25" s="1"/>
  <c r="AA33" i="25"/>
  <c r="AA53" i="25" s="1"/>
  <c r="X33" i="25"/>
  <c r="U33" i="25"/>
  <c r="X46" i="25"/>
  <c r="U46" i="25"/>
  <c r="R46" i="25"/>
  <c r="R53" i="25" s="1"/>
  <c r="O46" i="25"/>
  <c r="O53" i="25" s="1"/>
  <c r="L46" i="25"/>
  <c r="L53" i="25" s="1"/>
  <c r="I46" i="25"/>
  <c r="L13" i="26"/>
  <c r="M6" i="26"/>
  <c r="M13" i="26" s="1"/>
  <c r="L37" i="26"/>
  <c r="M30" i="26"/>
  <c r="M37" i="26" s="1"/>
  <c r="L75" i="26"/>
  <c r="M67" i="26"/>
  <c r="M75" i="26" s="1"/>
  <c r="L102" i="26"/>
  <c r="M93" i="26"/>
  <c r="M102" i="26" s="1"/>
  <c r="L155" i="26"/>
  <c r="M148" i="26"/>
  <c r="M155" i="26" s="1"/>
  <c r="L164" i="26"/>
  <c r="M159" i="26"/>
  <c r="M164" i="26" s="1"/>
  <c r="L223" i="26"/>
  <c r="M220" i="26"/>
  <c r="M223" i="26" s="1"/>
  <c r="N8" i="30"/>
  <c r="B12" i="30"/>
  <c r="N10" i="30"/>
  <c r="B16" i="30"/>
  <c r="N16" i="30" s="1"/>
  <c r="N14" i="30"/>
  <c r="B21" i="30"/>
  <c r="N21" i="30" s="1"/>
  <c r="N19" i="30"/>
  <c r="B26" i="30"/>
  <c r="N26" i="30" s="1"/>
  <c r="N25" i="30"/>
  <c r="B35" i="30"/>
  <c r="N32" i="30"/>
  <c r="B45" i="30"/>
  <c r="N45" i="30" s="1"/>
  <c r="N43" i="30"/>
  <c r="B56" i="30"/>
  <c r="N56" i="30" s="1"/>
  <c r="N47" i="30"/>
  <c r="N58" i="30"/>
  <c r="B63" i="30"/>
  <c r="N61" i="30"/>
  <c r="B70" i="30"/>
  <c r="N70" i="30" s="1"/>
  <c r="N66" i="30"/>
  <c r="H10" i="15"/>
  <c r="F12" i="15"/>
  <c r="H6" i="15"/>
  <c r="H7" i="15"/>
  <c r="H9" i="15"/>
  <c r="V9" i="13"/>
  <c r="D9" i="13"/>
  <c r="W9" i="13"/>
  <c r="Y9" i="13" s="1"/>
  <c r="E9" i="13"/>
  <c r="H9" i="13"/>
  <c r="I9" i="13"/>
  <c r="L9" i="13"/>
  <c r="M9" i="13"/>
  <c r="P9" i="13"/>
  <c r="Q9" i="13"/>
  <c r="T9" i="13"/>
  <c r="U9" i="13"/>
  <c r="C13" i="13"/>
  <c r="W11" i="13"/>
  <c r="Y11" i="13" s="1"/>
  <c r="E11" i="13"/>
  <c r="D11" i="13"/>
  <c r="G13" i="13"/>
  <c r="I11" i="13"/>
  <c r="H11" i="13"/>
  <c r="K13" i="13"/>
  <c r="M11" i="13"/>
  <c r="L11" i="13"/>
  <c r="O13" i="13"/>
  <c r="Q11" i="13"/>
  <c r="P11" i="13"/>
  <c r="S13" i="13"/>
  <c r="U11" i="13"/>
  <c r="T11" i="13"/>
  <c r="X11" i="13"/>
  <c r="B13" i="13"/>
  <c r="V12" i="13"/>
  <c r="D12" i="13"/>
  <c r="W12" i="13"/>
  <c r="Y12" i="13" s="1"/>
  <c r="E12" i="13"/>
  <c r="F13" i="13"/>
  <c r="H12" i="13"/>
  <c r="I12" i="13"/>
  <c r="J13" i="13"/>
  <c r="L12" i="13"/>
  <c r="M12" i="13"/>
  <c r="N13" i="13"/>
  <c r="P12" i="13"/>
  <c r="Q12" i="13"/>
  <c r="R13" i="13"/>
  <c r="T12" i="13"/>
  <c r="U12" i="13"/>
  <c r="C17" i="13"/>
  <c r="W15" i="13"/>
  <c r="Y15" i="13" s="1"/>
  <c r="E15" i="13"/>
  <c r="D15" i="13"/>
  <c r="G17" i="13"/>
  <c r="I15" i="13"/>
  <c r="H15" i="13"/>
  <c r="K17" i="13"/>
  <c r="M15" i="13"/>
  <c r="L15" i="13"/>
  <c r="O17" i="13"/>
  <c r="Q15" i="13"/>
  <c r="P15" i="13"/>
  <c r="S17" i="13"/>
  <c r="U15" i="13"/>
  <c r="T15" i="13"/>
  <c r="X15" i="13"/>
  <c r="W16" i="13"/>
  <c r="E16" i="13"/>
  <c r="D16" i="13"/>
  <c r="F17" i="13"/>
  <c r="H17" i="13" s="1"/>
  <c r="V16" i="13"/>
  <c r="X16" i="13" s="1"/>
  <c r="H16" i="13"/>
  <c r="I16" i="13"/>
  <c r="J17" i="13"/>
  <c r="L17" i="13" s="1"/>
  <c r="L16" i="13"/>
  <c r="M16" i="13"/>
  <c r="N17" i="13"/>
  <c r="P17" i="13" s="1"/>
  <c r="P16" i="13"/>
  <c r="Q16" i="13"/>
  <c r="R17" i="13"/>
  <c r="T17" i="13" s="1"/>
  <c r="T16" i="13"/>
  <c r="U16" i="13"/>
  <c r="V17" i="13"/>
  <c r="D17" i="13"/>
  <c r="W18" i="13"/>
  <c r="Y18" i="13" s="1"/>
  <c r="E18" i="13"/>
  <c r="D18" i="13"/>
  <c r="I18" i="13"/>
  <c r="H18" i="13"/>
  <c r="M18" i="13"/>
  <c r="L18" i="13"/>
  <c r="Q18" i="13"/>
  <c r="P18" i="13"/>
  <c r="U18" i="13"/>
  <c r="T18" i="13"/>
  <c r="X18" i="13"/>
  <c r="B22" i="13"/>
  <c r="V20" i="13"/>
  <c r="D20" i="13"/>
  <c r="C22" i="13"/>
  <c r="W20" i="13"/>
  <c r="Y20" i="13" s="1"/>
  <c r="E20" i="13"/>
  <c r="F22" i="13"/>
  <c r="H20" i="13"/>
  <c r="G22" i="13"/>
  <c r="I22" i="13" s="1"/>
  <c r="I20" i="13"/>
  <c r="J22" i="13"/>
  <c r="L20" i="13"/>
  <c r="K22" i="13"/>
  <c r="M22" i="13" s="1"/>
  <c r="M20" i="13"/>
  <c r="N22" i="13"/>
  <c r="P20" i="13"/>
  <c r="O22" i="13"/>
  <c r="Q22" i="13" s="1"/>
  <c r="Q20" i="13"/>
  <c r="R22" i="13"/>
  <c r="T20" i="13"/>
  <c r="S22" i="13"/>
  <c r="U22" i="13" s="1"/>
  <c r="U20" i="13"/>
  <c r="V21" i="13"/>
  <c r="D21" i="13"/>
  <c r="W21" i="13"/>
  <c r="Y21" i="13" s="1"/>
  <c r="E21" i="13"/>
  <c r="I21" i="13"/>
  <c r="M21" i="13"/>
  <c r="Q21" i="13"/>
  <c r="U21" i="13"/>
  <c r="V23" i="13"/>
  <c r="D23" i="13"/>
  <c r="W23" i="13"/>
  <c r="Y23" i="13" s="1"/>
  <c r="E23" i="13"/>
  <c r="I23" i="13"/>
  <c r="M23" i="13"/>
  <c r="Q23" i="13"/>
  <c r="U23" i="13"/>
  <c r="C27" i="13"/>
  <c r="W26" i="13"/>
  <c r="Y26" i="13" s="1"/>
  <c r="E26" i="13"/>
  <c r="D26" i="13"/>
  <c r="G27" i="13"/>
  <c r="I27" i="13" s="1"/>
  <c r="I26" i="13"/>
  <c r="H26" i="13"/>
  <c r="K27" i="13"/>
  <c r="M27" i="13" s="1"/>
  <c r="M26" i="13"/>
  <c r="L26" i="13"/>
  <c r="O27" i="13"/>
  <c r="Q27" i="13" s="1"/>
  <c r="Q26" i="13"/>
  <c r="P26" i="13"/>
  <c r="S27" i="13"/>
  <c r="U27" i="13" s="1"/>
  <c r="U26" i="13"/>
  <c r="T26" i="13"/>
  <c r="X26" i="13"/>
  <c r="V27" i="13"/>
  <c r="D27" i="13"/>
  <c r="H27" i="13"/>
  <c r="L27" i="13"/>
  <c r="P27" i="13"/>
  <c r="T27" i="13"/>
  <c r="B36" i="13"/>
  <c r="V33" i="13"/>
  <c r="D33" i="13"/>
  <c r="C36" i="13"/>
  <c r="W33" i="13"/>
  <c r="Y33" i="13" s="1"/>
  <c r="E33" i="13"/>
  <c r="F36" i="13"/>
  <c r="H33" i="13"/>
  <c r="G36" i="13"/>
  <c r="I33" i="13"/>
  <c r="J36" i="13"/>
  <c r="L33" i="13"/>
  <c r="K36" i="13"/>
  <c r="M33" i="13"/>
  <c r="N36" i="13"/>
  <c r="P33" i="13"/>
  <c r="O36" i="13"/>
  <c r="Q33" i="13"/>
  <c r="R36" i="13"/>
  <c r="T33" i="13"/>
  <c r="S36" i="13"/>
  <c r="U33" i="13"/>
  <c r="V34" i="13"/>
  <c r="D34" i="13"/>
  <c r="W34" i="13"/>
  <c r="Y34" i="13" s="1"/>
  <c r="E34" i="13"/>
  <c r="I34" i="13"/>
  <c r="M34" i="13"/>
  <c r="Q34" i="13"/>
  <c r="U34" i="13"/>
  <c r="V35" i="13"/>
  <c r="D35" i="13"/>
  <c r="W35" i="13"/>
  <c r="Y35" i="13" s="1"/>
  <c r="E35" i="13"/>
  <c r="I35" i="13"/>
  <c r="M35" i="13"/>
  <c r="Q35" i="13"/>
  <c r="U35" i="13"/>
  <c r="V37" i="13"/>
  <c r="D37" i="13"/>
  <c r="W37" i="13"/>
  <c r="Y37" i="13" s="1"/>
  <c r="E37" i="13"/>
  <c r="I37" i="13"/>
  <c r="M37" i="13"/>
  <c r="Q37" i="13"/>
  <c r="U37" i="13"/>
  <c r="W38" i="13"/>
  <c r="Y38" i="13" s="1"/>
  <c r="E38" i="13"/>
  <c r="D38" i="13"/>
  <c r="I38" i="13"/>
  <c r="H38" i="13"/>
  <c r="M38" i="13"/>
  <c r="L38" i="13"/>
  <c r="Q38" i="13"/>
  <c r="P38" i="13"/>
  <c r="U38" i="13"/>
  <c r="T38" i="13"/>
  <c r="X38" i="13"/>
  <c r="W39" i="13"/>
  <c r="E39" i="13"/>
  <c r="D39" i="13"/>
  <c r="I39" i="13"/>
  <c r="H39" i="13"/>
  <c r="M39" i="13"/>
  <c r="L39" i="13"/>
  <c r="Q39" i="13"/>
  <c r="P39" i="13"/>
  <c r="V39" i="13"/>
  <c r="X39" i="13" s="1"/>
  <c r="T39" i="13"/>
  <c r="U39" i="13"/>
  <c r="V40" i="13"/>
  <c r="X40" i="13" s="1"/>
  <c r="L40" i="13"/>
  <c r="V41" i="13"/>
  <c r="D41" i="13"/>
  <c r="W41" i="13"/>
  <c r="Y41" i="13" s="1"/>
  <c r="E41" i="13"/>
  <c r="I41" i="13"/>
  <c r="M41" i="13"/>
  <c r="Q41" i="13"/>
  <c r="U41" i="13"/>
  <c r="V42" i="13"/>
  <c r="D42" i="13"/>
  <c r="W42" i="13"/>
  <c r="Y42" i="13" s="1"/>
  <c r="E42" i="13"/>
  <c r="I42" i="13"/>
  <c r="M42" i="13"/>
  <c r="Q42" i="13"/>
  <c r="U42" i="13"/>
  <c r="B47" i="13"/>
  <c r="V45" i="13"/>
  <c r="D45" i="13"/>
  <c r="C47" i="13"/>
  <c r="W45" i="13"/>
  <c r="Y45" i="13" s="1"/>
  <c r="E45" i="13"/>
  <c r="G47" i="13"/>
  <c r="I47" i="13" s="1"/>
  <c r="I45" i="13"/>
  <c r="H45" i="13"/>
  <c r="J47" i="13"/>
  <c r="L45" i="13"/>
  <c r="K47" i="13"/>
  <c r="M47" i="13" s="1"/>
  <c r="M45" i="13"/>
  <c r="O47" i="13"/>
  <c r="Q47" i="13" s="1"/>
  <c r="Q45" i="13"/>
  <c r="P45" i="13"/>
  <c r="S47" i="13"/>
  <c r="U47" i="13" s="1"/>
  <c r="U45" i="13"/>
  <c r="T45" i="13"/>
  <c r="W46" i="13"/>
  <c r="Y46" i="13" s="1"/>
  <c r="E46" i="13"/>
  <c r="D46" i="13"/>
  <c r="I46" i="13"/>
  <c r="H46" i="13"/>
  <c r="M46" i="13"/>
  <c r="L46" i="13"/>
  <c r="Q46" i="13"/>
  <c r="P46" i="13"/>
  <c r="U46" i="13"/>
  <c r="T46" i="13"/>
  <c r="X46" i="13"/>
  <c r="H47" i="13"/>
  <c r="P47" i="13"/>
  <c r="T47" i="13"/>
  <c r="C58" i="13"/>
  <c r="W49" i="13"/>
  <c r="Y49" i="13" s="1"/>
  <c r="E49" i="13"/>
  <c r="D49" i="13"/>
  <c r="G58" i="13"/>
  <c r="I49" i="13"/>
  <c r="H49" i="13"/>
  <c r="K58" i="13"/>
  <c r="M49" i="13"/>
  <c r="L49" i="13"/>
  <c r="O58" i="13"/>
  <c r="Q49" i="13"/>
  <c r="P49" i="13"/>
  <c r="S58" i="13"/>
  <c r="U49" i="13"/>
  <c r="T49" i="13"/>
  <c r="X49" i="13"/>
  <c r="B58" i="13"/>
  <c r="V50" i="13"/>
  <c r="D50" i="13"/>
  <c r="W50" i="13"/>
  <c r="Y50" i="13" s="1"/>
  <c r="E50" i="13"/>
  <c r="F58" i="13"/>
  <c r="H58" i="13" s="1"/>
  <c r="H50" i="13"/>
  <c r="I50" i="13"/>
  <c r="J58" i="13"/>
  <c r="L58" i="13" s="1"/>
  <c r="L50" i="13"/>
  <c r="M50" i="13"/>
  <c r="N58" i="13"/>
  <c r="P58" i="13" s="1"/>
  <c r="P50" i="13"/>
  <c r="Q50" i="13"/>
  <c r="R58" i="13"/>
  <c r="T58" i="13" s="1"/>
  <c r="T50" i="13"/>
  <c r="U50" i="13"/>
  <c r="V51" i="13"/>
  <c r="D51" i="13"/>
  <c r="W51" i="13"/>
  <c r="Y51" i="13" s="1"/>
  <c r="E51" i="13"/>
  <c r="I51" i="13"/>
  <c r="M51" i="13"/>
  <c r="Q51" i="13"/>
  <c r="U51" i="13"/>
  <c r="V52" i="13"/>
  <c r="D52" i="13"/>
  <c r="W52" i="13"/>
  <c r="Y52" i="13" s="1"/>
  <c r="E52" i="13"/>
  <c r="I52" i="13"/>
  <c r="M52" i="13"/>
  <c r="Q52" i="13"/>
  <c r="U52" i="13"/>
  <c r="V53" i="13"/>
  <c r="D53" i="13"/>
  <c r="W53" i="13"/>
  <c r="Y53" i="13" s="1"/>
  <c r="E53" i="13"/>
  <c r="I53" i="13"/>
  <c r="M53" i="13"/>
  <c r="Q53" i="13"/>
  <c r="U53" i="13"/>
  <c r="V54" i="13"/>
  <c r="D54" i="13"/>
  <c r="W54" i="13"/>
  <c r="Y54" i="13" s="1"/>
  <c r="E54" i="13"/>
  <c r="I54" i="13"/>
  <c r="M54" i="13"/>
  <c r="Q54" i="13"/>
  <c r="U54" i="13"/>
  <c r="V55" i="13"/>
  <c r="D55" i="13"/>
  <c r="W55" i="13"/>
  <c r="Y55" i="13" s="1"/>
  <c r="E55" i="13"/>
  <c r="I55" i="13"/>
  <c r="M55" i="13"/>
  <c r="Q55" i="13"/>
  <c r="U55" i="13"/>
  <c r="V56" i="13"/>
  <c r="D56" i="13"/>
  <c r="W56" i="13"/>
  <c r="Y56" i="13" s="1"/>
  <c r="E56" i="13"/>
  <c r="I56" i="13"/>
  <c r="M56" i="13"/>
  <c r="Q56" i="13"/>
  <c r="U56" i="13"/>
  <c r="V57" i="13"/>
  <c r="D57" i="13"/>
  <c r="W57" i="13"/>
  <c r="Y57" i="13" s="1"/>
  <c r="E57" i="13"/>
  <c r="I57" i="13"/>
  <c r="M57" i="13"/>
  <c r="Q57" i="13"/>
  <c r="U57" i="13"/>
  <c r="V60" i="13"/>
  <c r="D60" i="13"/>
  <c r="W60" i="13"/>
  <c r="Y60" i="13" s="1"/>
  <c r="E60" i="13"/>
  <c r="H60" i="13"/>
  <c r="I60" i="13"/>
  <c r="L60" i="13"/>
  <c r="M60" i="13"/>
  <c r="P60" i="13"/>
  <c r="Q60" i="13"/>
  <c r="T60" i="13"/>
  <c r="U60" i="13"/>
  <c r="V61" i="13"/>
  <c r="D61" i="13"/>
  <c r="W61" i="13"/>
  <c r="Y61" i="13" s="1"/>
  <c r="E61" i="13"/>
  <c r="I61" i="13"/>
  <c r="M61" i="13"/>
  <c r="Q61" i="13"/>
  <c r="U61" i="13"/>
  <c r="C65" i="13"/>
  <c r="W63" i="13"/>
  <c r="Y63" i="13" s="1"/>
  <c r="E63" i="13"/>
  <c r="D63" i="13"/>
  <c r="G65" i="13"/>
  <c r="I63" i="13"/>
  <c r="H63" i="13"/>
  <c r="K65" i="13"/>
  <c r="M63" i="13"/>
  <c r="L63" i="13"/>
  <c r="O65" i="13"/>
  <c r="Q63" i="13"/>
  <c r="P63" i="13"/>
  <c r="S65" i="13"/>
  <c r="U63" i="13"/>
  <c r="T63" i="13"/>
  <c r="X63" i="13"/>
  <c r="B65" i="13"/>
  <c r="V64" i="13"/>
  <c r="D64" i="13"/>
  <c r="W64" i="13"/>
  <c r="Y64" i="13" s="1"/>
  <c r="E64" i="13"/>
  <c r="F65" i="13"/>
  <c r="H64" i="13"/>
  <c r="I64" i="13"/>
  <c r="J65" i="13"/>
  <c r="L64" i="13"/>
  <c r="M64" i="13"/>
  <c r="N65" i="13"/>
  <c r="P64" i="13"/>
  <c r="Q64" i="13"/>
  <c r="R65" i="13"/>
  <c r="T64" i="13"/>
  <c r="U64" i="13"/>
  <c r="B72" i="13"/>
  <c r="V68" i="13"/>
  <c r="D68" i="13"/>
  <c r="C72" i="13"/>
  <c r="W68" i="13"/>
  <c r="Y68" i="13" s="1"/>
  <c r="E68" i="13"/>
  <c r="F72" i="13"/>
  <c r="H68" i="13"/>
  <c r="G72" i="13"/>
  <c r="I72" i="13" s="1"/>
  <c r="I68" i="13"/>
  <c r="J72" i="13"/>
  <c r="L68" i="13"/>
  <c r="K72" i="13"/>
  <c r="M72" i="13" s="1"/>
  <c r="M68" i="13"/>
  <c r="N72" i="13"/>
  <c r="P68" i="13"/>
  <c r="O72" i="13"/>
  <c r="Q72" i="13" s="1"/>
  <c r="Q68" i="13"/>
  <c r="R72" i="13"/>
  <c r="T68" i="13"/>
  <c r="S72" i="13"/>
  <c r="U72" i="13" s="1"/>
  <c r="U68" i="13"/>
  <c r="V69" i="13"/>
  <c r="D69" i="13"/>
  <c r="W69" i="13"/>
  <c r="Y69" i="13" s="1"/>
  <c r="E69" i="13"/>
  <c r="I69" i="13"/>
  <c r="M69" i="13"/>
  <c r="Q69" i="13"/>
  <c r="U69" i="13"/>
  <c r="V70" i="13"/>
  <c r="D70" i="13"/>
  <c r="W70" i="13"/>
  <c r="Y70" i="13" s="1"/>
  <c r="E70" i="13"/>
  <c r="I70" i="13"/>
  <c r="M70" i="13"/>
  <c r="Q70" i="13"/>
  <c r="U70" i="13"/>
  <c r="V71" i="13"/>
  <c r="D71" i="13"/>
  <c r="W71" i="13"/>
  <c r="Y71" i="13" s="1"/>
  <c r="E71" i="13"/>
  <c r="I71" i="13"/>
  <c r="M71" i="13"/>
  <c r="Q71" i="13"/>
  <c r="U71" i="13"/>
  <c r="G8" i="1"/>
  <c r="B12" i="1"/>
  <c r="G11" i="1"/>
  <c r="C16" i="1"/>
  <c r="C23" i="1" s="1"/>
  <c r="C27" i="1" s="1"/>
  <c r="C28" i="1" s="1"/>
  <c r="C71" i="1" s="1"/>
  <c r="C72" i="1" s="1"/>
  <c r="G15" i="1"/>
  <c r="G16" i="1"/>
  <c r="B21" i="1"/>
  <c r="G21" i="1" s="1"/>
  <c r="G19" i="1"/>
  <c r="B35" i="1"/>
  <c r="G32" i="1"/>
  <c r="B44" i="1"/>
  <c r="G44" i="1" s="1"/>
  <c r="G42" i="1"/>
  <c r="B55" i="1"/>
  <c r="G55" i="1" s="1"/>
  <c r="G47" i="1"/>
  <c r="G57" i="1"/>
  <c r="B62" i="1"/>
  <c r="G61" i="1"/>
  <c r="B69" i="1"/>
  <c r="G69" i="1" s="1"/>
  <c r="G65" i="1"/>
  <c r="J46" i="25" l="1"/>
  <c r="M46" i="25" s="1"/>
  <c r="P46" i="25" s="1"/>
  <c r="S46" i="25" s="1"/>
  <c r="V46" i="25" s="1"/>
  <c r="Y46" i="25" s="1"/>
  <c r="AB46" i="25" s="1"/>
  <c r="AE46" i="25" s="1"/>
  <c r="AH46" i="25" s="1"/>
  <c r="AK46" i="25" s="1"/>
  <c r="AN46" i="25" s="1"/>
  <c r="AQ46" i="25" s="1"/>
  <c r="AT46" i="25" s="1"/>
  <c r="AW46" i="25" s="1"/>
  <c r="AZ46" i="25" s="1"/>
  <c r="BC46" i="25" s="1"/>
  <c r="BF46" i="25" s="1"/>
  <c r="I53" i="25"/>
  <c r="V33" i="25"/>
  <c r="Y33" i="25" s="1"/>
  <c r="AB33" i="25" s="1"/>
  <c r="AE33" i="25" s="1"/>
  <c r="AH33" i="25" s="1"/>
  <c r="AK33" i="25" s="1"/>
  <c r="AN33" i="25" s="1"/>
  <c r="AQ33" i="25" s="1"/>
  <c r="AT33" i="25" s="1"/>
  <c r="AW33" i="25" s="1"/>
  <c r="AZ33" i="25" s="1"/>
  <c r="BC33" i="25" s="1"/>
  <c r="BF33" i="25" s="1"/>
  <c r="U53" i="25"/>
  <c r="X53" i="25"/>
  <c r="J53" i="25"/>
  <c r="M4" i="25"/>
  <c r="N63" i="30"/>
  <c r="B64" i="30"/>
  <c r="N64" i="30" s="1"/>
  <c r="B41" i="30"/>
  <c r="N35" i="30"/>
  <c r="N12" i="30"/>
  <c r="B23" i="30"/>
  <c r="H12" i="15"/>
  <c r="X71" i="13"/>
  <c r="X70" i="13"/>
  <c r="X69" i="13"/>
  <c r="T72" i="13"/>
  <c r="P72" i="13"/>
  <c r="L72" i="13"/>
  <c r="H72" i="13"/>
  <c r="W72" i="13"/>
  <c r="E72" i="13"/>
  <c r="X68" i="13"/>
  <c r="V72" i="13"/>
  <c r="X72" i="13" s="1"/>
  <c r="D72" i="13"/>
  <c r="T65" i="13"/>
  <c r="R66" i="13"/>
  <c r="P65" i="13"/>
  <c r="N66" i="13"/>
  <c r="L65" i="13"/>
  <c r="J66" i="13"/>
  <c r="H65" i="13"/>
  <c r="F66" i="13"/>
  <c r="X64" i="13"/>
  <c r="V65" i="13"/>
  <c r="D65" i="13"/>
  <c r="B66" i="13"/>
  <c r="U65" i="13"/>
  <c r="S66" i="13"/>
  <c r="U66" i="13" s="1"/>
  <c r="Q65" i="13"/>
  <c r="O66" i="13"/>
  <c r="Q66" i="13" s="1"/>
  <c r="M65" i="13"/>
  <c r="K66" i="13"/>
  <c r="M66" i="13" s="1"/>
  <c r="I65" i="13"/>
  <c r="G66" i="13"/>
  <c r="I66" i="13" s="1"/>
  <c r="W65" i="13"/>
  <c r="Y65" i="13" s="1"/>
  <c r="E65" i="13"/>
  <c r="C66" i="13"/>
  <c r="X61" i="13"/>
  <c r="X60" i="13"/>
  <c r="X57" i="13"/>
  <c r="X56" i="13"/>
  <c r="X55" i="13"/>
  <c r="X54" i="13"/>
  <c r="X53" i="13"/>
  <c r="X52" i="13"/>
  <c r="X51" i="13"/>
  <c r="X50" i="13"/>
  <c r="V58" i="13"/>
  <c r="D58" i="13"/>
  <c r="U58" i="13"/>
  <c r="Q58" i="13"/>
  <c r="M58" i="13"/>
  <c r="I58" i="13"/>
  <c r="W58" i="13"/>
  <c r="Y58" i="13" s="1"/>
  <c r="E58" i="13"/>
  <c r="L47" i="13"/>
  <c r="W47" i="13"/>
  <c r="E47" i="13"/>
  <c r="X45" i="13"/>
  <c r="V47" i="13"/>
  <c r="X47" i="13" s="1"/>
  <c r="D47" i="13"/>
  <c r="X42" i="13"/>
  <c r="X41" i="13"/>
  <c r="Y39" i="13"/>
  <c r="X37" i="13"/>
  <c r="X35" i="13"/>
  <c r="X34" i="13"/>
  <c r="S43" i="13"/>
  <c r="U36" i="13"/>
  <c r="R43" i="13"/>
  <c r="T36" i="13"/>
  <c r="O43" i="13"/>
  <c r="Q36" i="13"/>
  <c r="N43" i="13"/>
  <c r="P36" i="13"/>
  <c r="K43" i="13"/>
  <c r="M36" i="13"/>
  <c r="J43" i="13"/>
  <c r="L36" i="13"/>
  <c r="G43" i="13"/>
  <c r="I36" i="13"/>
  <c r="F43" i="13"/>
  <c r="H36" i="13"/>
  <c r="C43" i="13"/>
  <c r="W36" i="13"/>
  <c r="E36" i="13"/>
  <c r="X33" i="13"/>
  <c r="B43" i="13"/>
  <c r="V36" i="13"/>
  <c r="X36" i="13" s="1"/>
  <c r="D36" i="13"/>
  <c r="W27" i="13"/>
  <c r="E27" i="13"/>
  <c r="X23" i="13"/>
  <c r="X21" i="13"/>
  <c r="T22" i="13"/>
  <c r="P22" i="13"/>
  <c r="L22" i="13"/>
  <c r="H22" i="13"/>
  <c r="W22" i="13"/>
  <c r="E22" i="13"/>
  <c r="X20" i="13"/>
  <c r="V22" i="13"/>
  <c r="X22" i="13" s="1"/>
  <c r="D22" i="13"/>
  <c r="Y16" i="13"/>
  <c r="U17" i="13"/>
  <c r="Q17" i="13"/>
  <c r="M17" i="13"/>
  <c r="I17" i="13"/>
  <c r="W17" i="13"/>
  <c r="E17" i="13"/>
  <c r="T13" i="13"/>
  <c r="R24" i="13"/>
  <c r="P13" i="13"/>
  <c r="N24" i="13"/>
  <c r="L13" i="13"/>
  <c r="J24" i="13"/>
  <c r="H13" i="13"/>
  <c r="F24" i="13"/>
  <c r="X12" i="13"/>
  <c r="V13" i="13"/>
  <c r="D13" i="13"/>
  <c r="B24" i="13"/>
  <c r="U13" i="13"/>
  <c r="S24" i="13"/>
  <c r="Q13" i="13"/>
  <c r="O24" i="13"/>
  <c r="M13" i="13"/>
  <c r="K24" i="13"/>
  <c r="I13" i="13"/>
  <c r="G24" i="13"/>
  <c r="W13" i="13"/>
  <c r="Y13" i="13" s="1"/>
  <c r="E13" i="13"/>
  <c r="C24" i="13"/>
  <c r="X9" i="13"/>
  <c r="G62" i="1"/>
  <c r="B63" i="1"/>
  <c r="G63" i="1" s="1"/>
  <c r="B40" i="1"/>
  <c r="G35" i="1"/>
  <c r="G12" i="1"/>
  <c r="B23" i="1"/>
  <c r="M53" i="25" l="1"/>
  <c r="P4" i="25"/>
  <c r="B27" i="30"/>
  <c r="N23" i="30"/>
  <c r="B71" i="30"/>
  <c r="N71" i="30" s="1"/>
  <c r="N41" i="30"/>
  <c r="C28" i="13"/>
  <c r="W24" i="13"/>
  <c r="E24" i="13"/>
  <c r="G28" i="13"/>
  <c r="I24" i="13"/>
  <c r="K28" i="13"/>
  <c r="M24" i="13"/>
  <c r="O28" i="13"/>
  <c r="Q24" i="13"/>
  <c r="S28" i="13"/>
  <c r="U24" i="13"/>
  <c r="B28" i="13"/>
  <c r="V24" i="13"/>
  <c r="X24" i="13" s="1"/>
  <c r="D24" i="13"/>
  <c r="X13" i="13"/>
  <c r="F28" i="13"/>
  <c r="H24" i="13"/>
  <c r="J28" i="13"/>
  <c r="L24" i="13"/>
  <c r="N28" i="13"/>
  <c r="P24" i="13"/>
  <c r="R28" i="13"/>
  <c r="T24" i="13"/>
  <c r="Y17" i="13"/>
  <c r="X17" i="13"/>
  <c r="Y22" i="13"/>
  <c r="Y27" i="13"/>
  <c r="X27" i="13"/>
  <c r="B73" i="13"/>
  <c r="V43" i="13"/>
  <c r="D43" i="13"/>
  <c r="Y36" i="13"/>
  <c r="C73" i="13"/>
  <c r="W43" i="13"/>
  <c r="Y43" i="13" s="1"/>
  <c r="E43" i="13"/>
  <c r="F73" i="13"/>
  <c r="H43" i="13"/>
  <c r="G73" i="13"/>
  <c r="I73" i="13" s="1"/>
  <c r="I43" i="13"/>
  <c r="J73" i="13"/>
  <c r="L43" i="13"/>
  <c r="K73" i="13"/>
  <c r="M73" i="13" s="1"/>
  <c r="M43" i="13"/>
  <c r="N73" i="13"/>
  <c r="P43" i="13"/>
  <c r="O73" i="13"/>
  <c r="Q73" i="13" s="1"/>
  <c r="Q43" i="13"/>
  <c r="R73" i="13"/>
  <c r="T43" i="13"/>
  <c r="S73" i="13"/>
  <c r="U73" i="13" s="1"/>
  <c r="U43" i="13"/>
  <c r="Y47" i="13"/>
  <c r="X58" i="13"/>
  <c r="W66" i="13"/>
  <c r="E66" i="13"/>
  <c r="V66" i="13"/>
  <c r="X66" i="13" s="1"/>
  <c r="D66" i="13"/>
  <c r="X65" i="13"/>
  <c r="H66" i="13"/>
  <c r="L66" i="13"/>
  <c r="P66" i="13"/>
  <c r="T66" i="13"/>
  <c r="Y72" i="13"/>
  <c r="B27" i="1"/>
  <c r="G23" i="1"/>
  <c r="B70" i="1"/>
  <c r="G70" i="1" s="1"/>
  <c r="G40" i="1"/>
  <c r="P53" i="25" l="1"/>
  <c r="S4" i="25"/>
  <c r="B28" i="30"/>
  <c r="N27" i="30"/>
  <c r="Y66" i="13"/>
  <c r="T73" i="13"/>
  <c r="P73" i="13"/>
  <c r="L73" i="13"/>
  <c r="H73" i="13"/>
  <c r="W73" i="13"/>
  <c r="E73" i="13"/>
  <c r="X43" i="13"/>
  <c r="V73" i="13"/>
  <c r="X73" i="13" s="1"/>
  <c r="D73" i="13"/>
  <c r="R29" i="13"/>
  <c r="T28" i="13"/>
  <c r="N29" i="13"/>
  <c r="P28" i="13"/>
  <c r="J29" i="13"/>
  <c r="L28" i="13"/>
  <c r="F29" i="13"/>
  <c r="H28" i="13"/>
  <c r="B29" i="13"/>
  <c r="V28" i="13"/>
  <c r="D28" i="13"/>
  <c r="S29" i="13"/>
  <c r="U28" i="13"/>
  <c r="O29" i="13"/>
  <c r="Q28" i="13"/>
  <c r="K29" i="13"/>
  <c r="M28" i="13"/>
  <c r="G29" i="13"/>
  <c r="I28" i="13"/>
  <c r="Y24" i="13"/>
  <c r="C29" i="13"/>
  <c r="W28" i="13"/>
  <c r="Y28" i="13" s="1"/>
  <c r="E28" i="13"/>
  <c r="B28" i="1"/>
  <c r="G27" i="1"/>
  <c r="F59" i="2"/>
  <c r="E59" i="2"/>
  <c r="D59" i="2"/>
  <c r="C59" i="2"/>
  <c r="B59" i="2"/>
  <c r="B58" i="2"/>
  <c r="F51" i="2"/>
  <c r="E51" i="2"/>
  <c r="D51" i="2"/>
  <c r="C51" i="2"/>
  <c r="B51" i="2"/>
  <c r="B49" i="2"/>
  <c r="F48" i="2"/>
  <c r="B48" i="2"/>
  <c r="C48" i="2" s="1"/>
  <c r="D48" i="2" s="1"/>
  <c r="E48" i="2" s="1"/>
  <c r="F47" i="2"/>
  <c r="E47" i="2"/>
  <c r="D47" i="2"/>
  <c r="C47" i="2"/>
  <c r="B47" i="2"/>
  <c r="F46" i="2"/>
  <c r="E46" i="2"/>
  <c r="D46" i="2"/>
  <c r="C46" i="2"/>
  <c r="B46" i="2"/>
  <c r="F45" i="2"/>
  <c r="E45" i="2"/>
  <c r="D45" i="2"/>
  <c r="C45" i="2"/>
  <c r="B45" i="2"/>
  <c r="F44" i="2"/>
  <c r="E44" i="2"/>
  <c r="D44" i="2"/>
  <c r="C44" i="2"/>
  <c r="B44" i="2"/>
  <c r="F43" i="2"/>
  <c r="E43" i="2"/>
  <c r="D43" i="2"/>
  <c r="C43" i="2"/>
  <c r="B43" i="2"/>
  <c r="F40" i="2"/>
  <c r="E40" i="2"/>
  <c r="C40" i="2"/>
  <c r="D40" i="2" s="1"/>
  <c r="F39" i="2"/>
  <c r="E39" i="2"/>
  <c r="C39" i="2"/>
  <c r="D39" i="2" s="1"/>
  <c r="F38" i="2"/>
  <c r="C38" i="2"/>
  <c r="D38" i="2" s="1"/>
  <c r="E38" i="2" s="1"/>
  <c r="F37" i="2"/>
  <c r="E37" i="2"/>
  <c r="D37" i="2"/>
  <c r="C37" i="2"/>
  <c r="B37" i="2"/>
  <c r="F36" i="2"/>
  <c r="F41" i="2" s="1"/>
  <c r="E36" i="2"/>
  <c r="E41" i="2" s="1"/>
  <c r="D36" i="2"/>
  <c r="D41" i="2" s="1"/>
  <c r="C36" i="2"/>
  <c r="C41" i="2" s="1"/>
  <c r="B36" i="2"/>
  <c r="B41" i="2" s="1"/>
  <c r="F33" i="2"/>
  <c r="F34" i="2" s="1"/>
  <c r="E33" i="2"/>
  <c r="E34" i="2" s="1"/>
  <c r="D33" i="2"/>
  <c r="D34" i="2" s="1"/>
  <c r="C33" i="2"/>
  <c r="C34" i="2" s="1"/>
  <c r="B33" i="2"/>
  <c r="B34" i="2" s="1"/>
  <c r="B26" i="2"/>
  <c r="C26" i="2" s="1"/>
  <c r="D26" i="2" s="1"/>
  <c r="E26" i="2" s="1"/>
  <c r="F26" i="2" s="1"/>
  <c r="B25" i="2"/>
  <c r="C25" i="2" s="1"/>
  <c r="D25" i="2" s="1"/>
  <c r="E25" i="2" s="1"/>
  <c r="F25" i="2" s="1"/>
  <c r="B24" i="2"/>
  <c r="F20" i="2"/>
  <c r="E20" i="2"/>
  <c r="D20" i="2"/>
  <c r="C20" i="2"/>
  <c r="B20" i="2"/>
  <c r="F19" i="2"/>
  <c r="E19" i="2"/>
  <c r="D19" i="2"/>
  <c r="C19" i="2"/>
  <c r="B19" i="2"/>
  <c r="F18" i="2"/>
  <c r="E18" i="2"/>
  <c r="D18" i="2"/>
  <c r="C18" i="2"/>
  <c r="B18" i="2"/>
  <c r="F17" i="2"/>
  <c r="F21" i="2" s="1"/>
  <c r="E17" i="2"/>
  <c r="E21" i="2" s="1"/>
  <c r="D17" i="2"/>
  <c r="D21" i="2" s="1"/>
  <c r="C17" i="2"/>
  <c r="C21" i="2" s="1"/>
  <c r="B17" i="2"/>
  <c r="B21" i="2" s="1"/>
  <c r="F14" i="2"/>
  <c r="F15" i="2" s="1"/>
  <c r="E14" i="2"/>
  <c r="E15" i="2" s="1"/>
  <c r="D14" i="2"/>
  <c r="D15" i="2" s="1"/>
  <c r="C14" i="2"/>
  <c r="C15" i="2" s="1"/>
  <c r="B14" i="2"/>
  <c r="B15" i="2" s="1"/>
  <c r="F11" i="2"/>
  <c r="E11" i="2"/>
  <c r="D11" i="2"/>
  <c r="C11" i="2"/>
  <c r="B11" i="2"/>
  <c r="E10" i="2"/>
  <c r="F10" i="2" s="1"/>
  <c r="B10" i="2"/>
  <c r="C10" i="2" s="1"/>
  <c r="D10" i="2" s="1"/>
  <c r="F9" i="2"/>
  <c r="F12" i="2" s="1"/>
  <c r="F22" i="2" s="1"/>
  <c r="E9" i="2"/>
  <c r="E12" i="2" s="1"/>
  <c r="E22" i="2" s="1"/>
  <c r="D9" i="2"/>
  <c r="D12" i="2" s="1"/>
  <c r="D22" i="2" s="1"/>
  <c r="C9" i="2"/>
  <c r="C12" i="2" s="1"/>
  <c r="C22" i="2" s="1"/>
  <c r="B9" i="2"/>
  <c r="B12" i="2" s="1"/>
  <c r="B22" i="2" s="1"/>
  <c r="S53" i="25" l="1"/>
  <c r="V4" i="25"/>
  <c r="B72" i="30"/>
  <c r="N28" i="30"/>
  <c r="C74" i="13"/>
  <c r="W29" i="13"/>
  <c r="E29" i="13"/>
  <c r="G74" i="13"/>
  <c r="I29" i="13"/>
  <c r="K74" i="13"/>
  <c r="M29" i="13"/>
  <c r="O74" i="13"/>
  <c r="Q29" i="13"/>
  <c r="S74" i="13"/>
  <c r="U29" i="13"/>
  <c r="X28" i="13"/>
  <c r="B74" i="13"/>
  <c r="V29" i="13"/>
  <c r="X29" i="13" s="1"/>
  <c r="D29" i="13"/>
  <c r="F74" i="13"/>
  <c r="H29" i="13"/>
  <c r="J74" i="13"/>
  <c r="L29" i="13"/>
  <c r="N74" i="13"/>
  <c r="P29" i="13"/>
  <c r="R74" i="13"/>
  <c r="T29" i="13"/>
  <c r="Y73" i="13"/>
  <c r="B71" i="1"/>
  <c r="G28" i="1"/>
  <c r="B27" i="2"/>
  <c r="B28" i="2" s="1"/>
  <c r="C24" i="2"/>
  <c r="B52" i="2"/>
  <c r="B54" i="2" s="1"/>
  <c r="B55" i="2" s="1"/>
  <c r="B56" i="2" s="1"/>
  <c r="C49" i="2"/>
  <c r="B60" i="2"/>
  <c r="C58" i="2"/>
  <c r="V53" i="25" l="1"/>
  <c r="Y4" i="25"/>
  <c r="B73" i="30"/>
  <c r="N73" i="30" s="1"/>
  <c r="N72" i="30"/>
  <c r="R75" i="13"/>
  <c r="T74" i="13"/>
  <c r="N75" i="13"/>
  <c r="P74" i="13"/>
  <c r="J75" i="13"/>
  <c r="L74" i="13"/>
  <c r="F75" i="13"/>
  <c r="H74" i="13"/>
  <c r="B75" i="13"/>
  <c r="V74" i="13"/>
  <c r="D74" i="13"/>
  <c r="S75" i="13"/>
  <c r="U75" i="13" s="1"/>
  <c r="U74" i="13"/>
  <c r="O75" i="13"/>
  <c r="Q75" i="13" s="1"/>
  <c r="Q74" i="13"/>
  <c r="K75" i="13"/>
  <c r="M75" i="13" s="1"/>
  <c r="M74" i="13"/>
  <c r="G75" i="13"/>
  <c r="I75" i="13" s="1"/>
  <c r="I74" i="13"/>
  <c r="Y29" i="13"/>
  <c r="C75" i="13"/>
  <c r="W74" i="13"/>
  <c r="Y74" i="13" s="1"/>
  <c r="E74" i="13"/>
  <c r="B72" i="1"/>
  <c r="G72" i="1" s="1"/>
  <c r="G71" i="1"/>
  <c r="C60" i="2"/>
  <c r="D58" i="2"/>
  <c r="C52" i="2"/>
  <c r="C54" i="2" s="1"/>
  <c r="C55" i="2" s="1"/>
  <c r="C56" i="2" s="1"/>
  <c r="C61" i="2" s="1"/>
  <c r="D49" i="2"/>
  <c r="B61" i="2"/>
  <c r="C27" i="2"/>
  <c r="C28" i="2" s="1"/>
  <c r="D24" i="2"/>
  <c r="Y53" i="25" l="1"/>
  <c r="AB4" i="25"/>
  <c r="W75" i="13"/>
  <c r="E75" i="13"/>
  <c r="X74" i="13"/>
  <c r="V75" i="13"/>
  <c r="X75" i="13" s="1"/>
  <c r="D75" i="13"/>
  <c r="H75" i="13"/>
  <c r="L75" i="13"/>
  <c r="P75" i="13"/>
  <c r="T75" i="13"/>
  <c r="D27" i="2"/>
  <c r="D28" i="2" s="1"/>
  <c r="E24" i="2"/>
  <c r="D52" i="2"/>
  <c r="D54" i="2" s="1"/>
  <c r="D55" i="2" s="1"/>
  <c r="D56" i="2" s="1"/>
  <c r="E49" i="2"/>
  <c r="D60" i="2"/>
  <c r="E58" i="2"/>
  <c r="AB53" i="25" l="1"/>
  <c r="AE4" i="25"/>
  <c r="Y75" i="13"/>
  <c r="E60" i="2"/>
  <c r="F58" i="2"/>
  <c r="F60" i="2" s="1"/>
  <c r="E52" i="2"/>
  <c r="E54" i="2" s="1"/>
  <c r="E55" i="2" s="1"/>
  <c r="E56" i="2" s="1"/>
  <c r="E61" i="2" s="1"/>
  <c r="F49" i="2"/>
  <c r="F52" i="2" s="1"/>
  <c r="F54" i="2" s="1"/>
  <c r="F55" i="2" s="1"/>
  <c r="F56" i="2" s="1"/>
  <c r="F61" i="2" s="1"/>
  <c r="D61" i="2"/>
  <c r="E27" i="2"/>
  <c r="E28" i="2" s="1"/>
  <c r="F24" i="2"/>
  <c r="F27" i="2" s="1"/>
  <c r="F28" i="2" s="1"/>
  <c r="AE53" i="25" l="1"/>
  <c r="AH4" i="25"/>
  <c r="M57" i="19"/>
  <c r="L57" i="19"/>
  <c r="K57" i="19"/>
  <c r="J57" i="19"/>
  <c r="I57" i="19"/>
  <c r="H57" i="19"/>
  <c r="G57" i="19"/>
  <c r="F57" i="19"/>
  <c r="E57" i="19"/>
  <c r="D57" i="19"/>
  <c r="C57" i="19"/>
  <c r="B57" i="19"/>
  <c r="B56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K48" i="19"/>
  <c r="L48" i="19" s="1"/>
  <c r="M48" i="19" s="1"/>
  <c r="J48" i="19"/>
  <c r="I48" i="19"/>
  <c r="B48" i="19"/>
  <c r="C48" i="19" s="1"/>
  <c r="D48" i="19" s="1"/>
  <c r="E48" i="19" s="1"/>
  <c r="F48" i="19" s="1"/>
  <c r="G48" i="19" s="1"/>
  <c r="H48" i="19" s="1"/>
  <c r="B47" i="19"/>
  <c r="M46" i="19"/>
  <c r="K46" i="19"/>
  <c r="L46" i="19" s="1"/>
  <c r="J46" i="19"/>
  <c r="I46" i="19"/>
  <c r="H46" i="19"/>
  <c r="D46" i="19"/>
  <c r="E46" i="19" s="1"/>
  <c r="F46" i="19" s="1"/>
  <c r="G46" i="19" s="1"/>
  <c r="B46" i="19"/>
  <c r="C46" i="19" s="1"/>
  <c r="M45" i="19"/>
  <c r="L45" i="19"/>
  <c r="K45" i="19"/>
  <c r="J45" i="19"/>
  <c r="I45" i="19"/>
  <c r="H45" i="19"/>
  <c r="G45" i="19"/>
  <c r="F45" i="19"/>
  <c r="E45" i="19"/>
  <c r="D45" i="19"/>
  <c r="C45" i="19"/>
  <c r="B45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G43" i="19"/>
  <c r="H43" i="19" s="1"/>
  <c r="I43" i="19" s="1"/>
  <c r="J43" i="19" s="1"/>
  <c r="K43" i="19" s="1"/>
  <c r="L43" i="19" s="1"/>
  <c r="M43" i="19" s="1"/>
  <c r="B43" i="19"/>
  <c r="C43" i="19" s="1"/>
  <c r="D43" i="19" s="1"/>
  <c r="E43" i="19" s="1"/>
  <c r="F43" i="19" s="1"/>
  <c r="M42" i="19"/>
  <c r="L42" i="19"/>
  <c r="K42" i="19"/>
  <c r="J42" i="19"/>
  <c r="I42" i="19"/>
  <c r="H42" i="19"/>
  <c r="G42" i="19"/>
  <c r="F42" i="19"/>
  <c r="E42" i="19"/>
  <c r="D42" i="19"/>
  <c r="C42" i="19"/>
  <c r="B42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M37" i="19"/>
  <c r="L37" i="19"/>
  <c r="K37" i="19"/>
  <c r="J37" i="19"/>
  <c r="I37" i="19"/>
  <c r="H37" i="19"/>
  <c r="G37" i="19"/>
  <c r="F37" i="19"/>
  <c r="E37" i="19"/>
  <c r="D37" i="19"/>
  <c r="C37" i="19"/>
  <c r="I36" i="19"/>
  <c r="J36" i="19" s="1"/>
  <c r="K36" i="19" s="1"/>
  <c r="L36" i="19" s="1"/>
  <c r="M36" i="19" s="1"/>
  <c r="H36" i="19"/>
  <c r="G36" i="19"/>
  <c r="F36" i="19"/>
  <c r="E36" i="19"/>
  <c r="D36" i="19"/>
  <c r="C36" i="19"/>
  <c r="B36" i="19"/>
  <c r="M35" i="19"/>
  <c r="M38" i="19" s="1"/>
  <c r="L35" i="19"/>
  <c r="L38" i="19" s="1"/>
  <c r="K35" i="19"/>
  <c r="K38" i="19" s="1"/>
  <c r="J35" i="19"/>
  <c r="J38" i="19" s="1"/>
  <c r="I35" i="19"/>
  <c r="I38" i="19" s="1"/>
  <c r="H35" i="19"/>
  <c r="H38" i="19" s="1"/>
  <c r="G35" i="19"/>
  <c r="G38" i="19" s="1"/>
  <c r="F35" i="19"/>
  <c r="F38" i="19" s="1"/>
  <c r="E35" i="19"/>
  <c r="E38" i="19" s="1"/>
  <c r="D35" i="19"/>
  <c r="D38" i="19" s="1"/>
  <c r="C35" i="19"/>
  <c r="C38" i="19" s="1"/>
  <c r="B35" i="19"/>
  <c r="B38" i="19" s="1"/>
  <c r="M32" i="19"/>
  <c r="M33" i="19" s="1"/>
  <c r="L32" i="19"/>
  <c r="L33" i="19" s="1"/>
  <c r="K32" i="19"/>
  <c r="K33" i="19" s="1"/>
  <c r="J32" i="19"/>
  <c r="J33" i="19" s="1"/>
  <c r="I32" i="19"/>
  <c r="I33" i="19" s="1"/>
  <c r="H32" i="19"/>
  <c r="H33" i="19" s="1"/>
  <c r="G32" i="19"/>
  <c r="G33" i="19" s="1"/>
  <c r="F32" i="19"/>
  <c r="F33" i="19" s="1"/>
  <c r="E32" i="19"/>
  <c r="E33" i="19" s="1"/>
  <c r="D32" i="19"/>
  <c r="D33" i="19" s="1"/>
  <c r="C32" i="19"/>
  <c r="C33" i="19" s="1"/>
  <c r="B32" i="19"/>
  <c r="B33" i="19" s="1"/>
  <c r="B25" i="19"/>
  <c r="C25" i="19" s="1"/>
  <c r="D25" i="19" s="1"/>
  <c r="E25" i="19" s="1"/>
  <c r="F25" i="19" s="1"/>
  <c r="G25" i="19" s="1"/>
  <c r="H25" i="19" s="1"/>
  <c r="I25" i="19" s="1"/>
  <c r="J25" i="19" s="1"/>
  <c r="K25" i="19" s="1"/>
  <c r="L25" i="19" s="1"/>
  <c r="M25" i="19" s="1"/>
  <c r="E24" i="19"/>
  <c r="F24" i="19" s="1"/>
  <c r="G24" i="19" s="1"/>
  <c r="H24" i="19" s="1"/>
  <c r="I24" i="19" s="1"/>
  <c r="J24" i="19" s="1"/>
  <c r="K24" i="19" s="1"/>
  <c r="L24" i="19" s="1"/>
  <c r="M24" i="19" s="1"/>
  <c r="C24" i="19"/>
  <c r="D24" i="19" s="1"/>
  <c r="B23" i="19"/>
  <c r="M19" i="19"/>
  <c r="L19" i="19"/>
  <c r="H19" i="19"/>
  <c r="I19" i="19" s="1"/>
  <c r="J19" i="19" s="1"/>
  <c r="K19" i="19" s="1"/>
  <c r="G19" i="19"/>
  <c r="F19" i="19"/>
  <c r="E19" i="19"/>
  <c r="D19" i="19"/>
  <c r="C19" i="19"/>
  <c r="B19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M17" i="19"/>
  <c r="M20" i="19" s="1"/>
  <c r="L17" i="19"/>
  <c r="L20" i="19" s="1"/>
  <c r="K17" i="19"/>
  <c r="K20" i="19" s="1"/>
  <c r="J17" i="19"/>
  <c r="J20" i="19" s="1"/>
  <c r="I17" i="19"/>
  <c r="I20" i="19" s="1"/>
  <c r="H17" i="19"/>
  <c r="H20" i="19" s="1"/>
  <c r="G17" i="19"/>
  <c r="G20" i="19" s="1"/>
  <c r="F17" i="19"/>
  <c r="F20" i="19" s="1"/>
  <c r="E17" i="19"/>
  <c r="E20" i="19" s="1"/>
  <c r="D17" i="19"/>
  <c r="D20" i="19" s="1"/>
  <c r="C17" i="19"/>
  <c r="C20" i="19" s="1"/>
  <c r="B17" i="19"/>
  <c r="B20" i="19" s="1"/>
  <c r="M14" i="19"/>
  <c r="M15" i="19" s="1"/>
  <c r="L14" i="19"/>
  <c r="L15" i="19" s="1"/>
  <c r="K14" i="19"/>
  <c r="K15" i="19" s="1"/>
  <c r="J14" i="19"/>
  <c r="J15" i="19" s="1"/>
  <c r="I14" i="19"/>
  <c r="I15" i="19" s="1"/>
  <c r="H14" i="19"/>
  <c r="H15" i="19" s="1"/>
  <c r="G14" i="19"/>
  <c r="G15" i="19" s="1"/>
  <c r="F14" i="19"/>
  <c r="F15" i="19" s="1"/>
  <c r="E14" i="19"/>
  <c r="E15" i="19" s="1"/>
  <c r="D14" i="19"/>
  <c r="D15" i="19" s="1"/>
  <c r="C14" i="19"/>
  <c r="C15" i="19" s="1"/>
  <c r="B14" i="19"/>
  <c r="B15" i="19" s="1"/>
  <c r="M11" i="19"/>
  <c r="L11" i="19"/>
  <c r="K11" i="19"/>
  <c r="J11" i="19"/>
  <c r="I11" i="19"/>
  <c r="H11" i="19"/>
  <c r="G11" i="19"/>
  <c r="F11" i="19"/>
  <c r="E11" i="19"/>
  <c r="D11" i="19"/>
  <c r="C11" i="19"/>
  <c r="F10" i="19"/>
  <c r="G10" i="19" s="1"/>
  <c r="H10" i="19" s="1"/>
  <c r="I10" i="19" s="1"/>
  <c r="J10" i="19" s="1"/>
  <c r="K10" i="19" s="1"/>
  <c r="L10" i="19" s="1"/>
  <c r="M10" i="19" s="1"/>
  <c r="E10" i="19"/>
  <c r="B10" i="19"/>
  <c r="C10" i="19" s="1"/>
  <c r="D10" i="19" s="1"/>
  <c r="M9" i="19"/>
  <c r="M12" i="19" s="1"/>
  <c r="M21" i="19" s="1"/>
  <c r="L9" i="19"/>
  <c r="L12" i="19" s="1"/>
  <c r="L21" i="19" s="1"/>
  <c r="K9" i="19"/>
  <c r="K12" i="19" s="1"/>
  <c r="K21" i="19" s="1"/>
  <c r="J9" i="19"/>
  <c r="J12" i="19" s="1"/>
  <c r="J21" i="19" s="1"/>
  <c r="I9" i="19"/>
  <c r="I12" i="19" s="1"/>
  <c r="I21" i="19" s="1"/>
  <c r="H9" i="19"/>
  <c r="H12" i="19" s="1"/>
  <c r="H21" i="19" s="1"/>
  <c r="G9" i="19"/>
  <c r="G12" i="19" s="1"/>
  <c r="G21" i="19" s="1"/>
  <c r="F9" i="19"/>
  <c r="F12" i="19" s="1"/>
  <c r="F21" i="19" s="1"/>
  <c r="E9" i="19"/>
  <c r="E12" i="19" s="1"/>
  <c r="E21" i="19" s="1"/>
  <c r="D9" i="19"/>
  <c r="D12" i="19" s="1"/>
  <c r="D21" i="19" s="1"/>
  <c r="C9" i="19"/>
  <c r="C12" i="19" s="1"/>
  <c r="C21" i="19" s="1"/>
  <c r="B9" i="19"/>
  <c r="B12" i="19" s="1"/>
  <c r="B21" i="19" s="1"/>
  <c r="AH53" i="25" l="1"/>
  <c r="AK4" i="25"/>
  <c r="B26" i="19"/>
  <c r="B27" i="19" s="1"/>
  <c r="C23" i="19"/>
  <c r="B50" i="19"/>
  <c r="B52" i="19" s="1"/>
  <c r="B53" i="19" s="1"/>
  <c r="B54" i="19" s="1"/>
  <c r="C47" i="19"/>
  <c r="B58" i="19"/>
  <c r="C56" i="19"/>
  <c r="AK53" i="25" l="1"/>
  <c r="AN4" i="25"/>
  <c r="C58" i="19"/>
  <c r="D56" i="19"/>
  <c r="C50" i="19"/>
  <c r="C52" i="19" s="1"/>
  <c r="C53" i="19" s="1"/>
  <c r="C54" i="19" s="1"/>
  <c r="C59" i="19" s="1"/>
  <c r="D47" i="19"/>
  <c r="B59" i="19"/>
  <c r="C26" i="19"/>
  <c r="C27" i="19" s="1"/>
  <c r="D23" i="19"/>
  <c r="AN53" i="25" l="1"/>
  <c r="AQ4" i="25"/>
  <c r="D26" i="19"/>
  <c r="D27" i="19" s="1"/>
  <c r="E23" i="19"/>
  <c r="D50" i="19"/>
  <c r="D52" i="19" s="1"/>
  <c r="D53" i="19" s="1"/>
  <c r="D54" i="19" s="1"/>
  <c r="E47" i="19"/>
  <c r="D58" i="19"/>
  <c r="E56" i="19"/>
  <c r="AQ53" i="25" l="1"/>
  <c r="AT4" i="25"/>
  <c r="E58" i="19"/>
  <c r="F56" i="19"/>
  <c r="E50" i="19"/>
  <c r="E52" i="19" s="1"/>
  <c r="E53" i="19" s="1"/>
  <c r="E54" i="19" s="1"/>
  <c r="E59" i="19" s="1"/>
  <c r="F47" i="19"/>
  <c r="D59" i="19"/>
  <c r="E26" i="19"/>
  <c r="E27" i="19" s="1"/>
  <c r="F23" i="19"/>
  <c r="AT53" i="25" l="1"/>
  <c r="AW4" i="25"/>
  <c r="F26" i="19"/>
  <c r="F27" i="19" s="1"/>
  <c r="G23" i="19"/>
  <c r="F50" i="19"/>
  <c r="F52" i="19" s="1"/>
  <c r="F53" i="19" s="1"/>
  <c r="F54" i="19" s="1"/>
  <c r="G47" i="19"/>
  <c r="F58" i="19"/>
  <c r="G56" i="19"/>
  <c r="AW53" i="25" l="1"/>
  <c r="AZ4" i="25"/>
  <c r="G58" i="19"/>
  <c r="H56" i="19"/>
  <c r="G50" i="19"/>
  <c r="G52" i="19" s="1"/>
  <c r="G53" i="19" s="1"/>
  <c r="G54" i="19" s="1"/>
  <c r="G59" i="19" s="1"/>
  <c r="H47" i="19"/>
  <c r="F59" i="19"/>
  <c r="G26" i="19"/>
  <c r="G27" i="19" s="1"/>
  <c r="H23" i="19"/>
  <c r="AZ53" i="25" l="1"/>
  <c r="BC4" i="25"/>
  <c r="H26" i="19"/>
  <c r="H27" i="19" s="1"/>
  <c r="I23" i="19"/>
  <c r="H50" i="19"/>
  <c r="H52" i="19" s="1"/>
  <c r="H53" i="19" s="1"/>
  <c r="H54" i="19" s="1"/>
  <c r="I47" i="19"/>
  <c r="H58" i="19"/>
  <c r="I56" i="19"/>
  <c r="E26" i="24"/>
  <c r="D6" i="24"/>
  <c r="D7" i="24"/>
  <c r="D8" i="24"/>
  <c r="D9" i="24"/>
  <c r="D10" i="24"/>
  <c r="D11" i="24"/>
  <c r="D12" i="24"/>
  <c r="D13" i="24"/>
  <c r="D14" i="24"/>
  <c r="D15" i="24"/>
  <c r="BC53" i="25" l="1"/>
  <c r="BF4" i="25"/>
  <c r="BF53" i="25" s="1"/>
  <c r="I58" i="19"/>
  <c r="J56" i="19"/>
  <c r="I50" i="19"/>
  <c r="I52" i="19" s="1"/>
  <c r="I53" i="19" s="1"/>
  <c r="I54" i="19" s="1"/>
  <c r="I59" i="19" s="1"/>
  <c r="J47" i="19"/>
  <c r="H59" i="19"/>
  <c r="I26" i="19"/>
  <c r="I27" i="19" s="1"/>
  <c r="J23" i="19"/>
  <c r="H6" i="24"/>
  <c r="K6" i="24" s="1"/>
  <c r="J26" i="19" l="1"/>
  <c r="J27" i="19" s="1"/>
  <c r="K23" i="19"/>
  <c r="J50" i="19"/>
  <c r="J52" i="19" s="1"/>
  <c r="J53" i="19" s="1"/>
  <c r="J54" i="19" s="1"/>
  <c r="K47" i="19"/>
  <c r="J58" i="19"/>
  <c r="K56" i="19"/>
  <c r="K58" i="19" l="1"/>
  <c r="L56" i="19"/>
  <c r="K50" i="19"/>
  <c r="K52" i="19" s="1"/>
  <c r="K53" i="19" s="1"/>
  <c r="K54" i="19" s="1"/>
  <c r="K59" i="19" s="1"/>
  <c r="L47" i="19"/>
  <c r="J59" i="19"/>
  <c r="K26" i="19"/>
  <c r="K27" i="19" s="1"/>
  <c r="L23" i="19"/>
  <c r="L26" i="19" l="1"/>
  <c r="L27" i="19" s="1"/>
  <c r="M23" i="19"/>
  <c r="M26" i="19" s="1"/>
  <c r="M27" i="19" s="1"/>
  <c r="L50" i="19"/>
  <c r="L52" i="19" s="1"/>
  <c r="L53" i="19" s="1"/>
  <c r="L54" i="19" s="1"/>
  <c r="M47" i="19"/>
  <c r="M50" i="19" s="1"/>
  <c r="M52" i="19" s="1"/>
  <c r="M53" i="19" s="1"/>
  <c r="M54" i="19" s="1"/>
  <c r="L58" i="19"/>
  <c r="M56" i="19"/>
  <c r="M58" i="19" s="1"/>
  <c r="M59" i="19" l="1"/>
  <c r="L59" i="19"/>
  <c r="F16" i="24" l="1"/>
  <c r="D22" i="24"/>
  <c r="D21" i="24"/>
  <c r="D20" i="24"/>
  <c r="D19" i="24"/>
  <c r="D18" i="24"/>
  <c r="B23" i="24"/>
  <c r="D23" i="24"/>
  <c r="C23" i="24"/>
  <c r="C16" i="24"/>
  <c r="D16" i="24"/>
  <c r="B16" i="24"/>
  <c r="B24" i="24" s="1"/>
  <c r="C24" i="24" l="1"/>
  <c r="D24" i="24"/>
  <c r="H9" i="8" l="1"/>
  <c r="H15" i="8" l="1"/>
  <c r="H17" i="8"/>
  <c r="K15" i="24"/>
  <c r="K14" i="24"/>
  <c r="J6" i="24"/>
  <c r="H22" i="24"/>
  <c r="H21" i="24"/>
  <c r="H20" i="24"/>
  <c r="H19" i="24"/>
  <c r="H18" i="24"/>
  <c r="H15" i="24"/>
  <c r="J15" i="24" s="1"/>
  <c r="H14" i="24"/>
  <c r="J14" i="24" s="1"/>
  <c r="H13" i="24"/>
  <c r="H12" i="24"/>
  <c r="H11" i="24"/>
  <c r="H10" i="24"/>
  <c r="H9" i="24"/>
  <c r="H8" i="24"/>
  <c r="H7" i="24"/>
  <c r="H16" i="24" s="1"/>
  <c r="I23" i="24"/>
  <c r="H23" i="24"/>
  <c r="I16" i="24"/>
  <c r="F23" i="24"/>
  <c r="F24" i="24" l="1"/>
  <c r="K23" i="24"/>
  <c r="K18" i="24"/>
  <c r="J18" i="24"/>
  <c r="K19" i="24"/>
  <c r="J19" i="24"/>
  <c r="K20" i="24"/>
  <c r="J20" i="24"/>
  <c r="K21" i="24"/>
  <c r="J21" i="24"/>
  <c r="K22" i="24"/>
  <c r="J22" i="24"/>
  <c r="K16" i="24"/>
  <c r="K7" i="24"/>
  <c r="J7" i="24"/>
  <c r="K8" i="24"/>
  <c r="J8" i="24"/>
  <c r="K9" i="24"/>
  <c r="J9" i="24"/>
  <c r="K10" i="24"/>
  <c r="J10" i="24"/>
  <c r="K11" i="24"/>
  <c r="J11" i="24"/>
  <c r="K12" i="24"/>
  <c r="J12" i="24"/>
  <c r="K13" i="24"/>
  <c r="J13" i="24"/>
  <c r="I24" i="24"/>
  <c r="H24" i="24"/>
  <c r="J23" i="24" l="1"/>
  <c r="K24" i="24"/>
  <c r="J16" i="24"/>
  <c r="J24" i="24" s="1"/>
  <c r="H10" i="8"/>
  <c r="H8" i="8" l="1"/>
  <c r="H16" i="8"/>
  <c r="H21" i="8" l="1"/>
  <c r="H12" i="8" l="1"/>
  <c r="H18" i="8"/>
  <c r="H19" i="8" s="1"/>
  <c r="B12" i="8"/>
  <c r="B23" i="8" l="1"/>
  <c r="B22" i="8"/>
  <c r="B21" i="8"/>
  <c r="B20" i="8"/>
  <c r="B19" i="8"/>
  <c r="B16" i="8"/>
  <c r="B15" i="8"/>
  <c r="C15" i="8" l="1"/>
  <c r="D15" i="8" s="1"/>
  <c r="I19" i="8" l="1"/>
  <c r="C16" i="8" l="1"/>
  <c r="D16" i="8" l="1"/>
  <c r="I11" i="8" l="1"/>
  <c r="I13" i="8" s="1"/>
  <c r="C11" i="8" l="1"/>
  <c r="C13" i="8"/>
  <c r="C12" i="8"/>
  <c r="C10" i="8"/>
  <c r="C8" i="8" l="1"/>
  <c r="C9" i="8"/>
  <c r="C23" i="8"/>
  <c r="C21" i="8"/>
  <c r="C19" i="8"/>
  <c r="C14" i="8"/>
  <c r="C17" i="8" l="1"/>
  <c r="C22" i="8"/>
  <c r="C20" i="8"/>
  <c r="B9" i="8" l="1"/>
  <c r="B11" i="8"/>
  <c r="B10" i="8" l="1"/>
  <c r="D12" i="8" l="1"/>
  <c r="B13" i="8"/>
  <c r="D10" i="8"/>
  <c r="B14" i="8" l="1"/>
  <c r="B8" i="8" l="1"/>
  <c r="B17" i="8" l="1"/>
  <c r="H11" i="8"/>
  <c r="H13" i="8" s="1"/>
  <c r="D11" i="8" l="1"/>
  <c r="D9" i="8"/>
  <c r="D21" i="8"/>
  <c r="D13" i="8"/>
  <c r="D8" i="8" l="1"/>
  <c r="D14" i="8"/>
  <c r="D17" i="8" l="1"/>
  <c r="D22" i="8"/>
  <c r="D23" i="8"/>
  <c r="D20" i="8"/>
  <c r="D19" i="8"/>
  <c r="D24" i="8" l="1"/>
  <c r="B24" i="8"/>
  <c r="B25" i="8" s="1"/>
  <c r="C24" i="8"/>
  <c r="D25" i="8" l="1"/>
  <c r="H22" i="8"/>
  <c r="H23" i="8" s="1"/>
  <c r="I22" i="8"/>
  <c r="I23" i="8" s="1"/>
  <c r="C2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PI1</author>
  </authors>
  <commentList>
    <comment ref="F235" authorId="0" shapeId="0" xr:uid="{98E1CD7F-7E36-4FB4-8F1F-4AFF4BB0B3D1}">
      <text>
        <r>
          <rPr>
            <b/>
            <sz val="9"/>
            <color indexed="81"/>
            <rFont val="Tahoma"/>
            <family val="2"/>
          </rPr>
          <t xml:space="preserve">MN:
</t>
        </r>
        <r>
          <rPr>
            <sz val="8"/>
            <color indexed="81"/>
            <rFont val="Arial"/>
            <family val="2"/>
          </rPr>
          <t>11/22: 546-489 created on 11/18/20 for 06/01/20-05/31/21</t>
        </r>
        <r>
          <rPr>
            <b/>
            <sz val="8"/>
            <color indexed="81"/>
            <rFont val="Arial"/>
            <family val="2"/>
          </rPr>
          <t xml:space="preserve">
</t>
        </r>
        <r>
          <rPr>
            <sz val="8"/>
            <color indexed="81"/>
            <rFont val="Arial"/>
            <family val="2"/>
          </rPr>
          <t xml:space="preserve">
09/20: Invoice 546-457 dated 05/01/20 for $7500 has been removed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Mischellene Narciso</author>
    <author>PI1</author>
  </authors>
  <commentList>
    <comment ref="G89" authorId="0" shapeId="0" xr:uid="{FFC03C35-5D03-4CC6-B230-991D8CB13EF4}">
      <text>
        <r>
          <rPr>
            <sz val="9"/>
            <color indexed="81"/>
            <rFont val="Tahoma"/>
            <family val="2"/>
          </rPr>
          <t xml:space="preserve">Included on Elite sponsorship Invoice 546-568 $97K.
Please confirm:
2 events @ $3,500 - $7K
Athena Academy - $25K
Elite Corporate P'Ship - $28K
12 month newsletter - $12K
LWC - $25K
</t>
        </r>
      </text>
    </comment>
    <comment ref="D268" authorId="1" shapeId="0" xr:uid="{83861AB2-0453-4B9C-8FC1-D61A7C0C2490}">
      <text>
        <r>
          <rPr>
            <b/>
            <sz val="9"/>
            <color indexed="81"/>
            <rFont val="Tahoma"/>
            <family val="2"/>
          </rPr>
          <t>PI1:</t>
        </r>
        <r>
          <rPr>
            <sz val="9"/>
            <color indexed="81"/>
            <rFont val="Tahoma"/>
            <family val="2"/>
          </rPr>
          <t xml:space="preserve">
Previously 546-432 before invoice update</t>
        </r>
      </text>
    </comment>
    <comment ref="E270" authorId="1" shapeId="0" xr:uid="{6B730F6F-E42C-415E-9BED-B5E822D5DE3C}">
      <text>
        <r>
          <rPr>
            <b/>
            <sz val="9"/>
            <color indexed="81"/>
            <rFont val="Tahoma"/>
            <family val="2"/>
          </rPr>
          <t>MN:
Do we recognize this for July? Marked as completed above but with note Sept 2020</t>
        </r>
      </text>
    </comment>
    <comment ref="B273" authorId="1" shapeId="0" xr:uid="{CEDF5F2F-85CD-4324-B246-3BE0BB3AD608}">
      <text>
        <r>
          <rPr>
            <b/>
            <sz val="9"/>
            <color indexed="81"/>
            <rFont val="Tahoma"/>
            <family val="2"/>
          </rPr>
          <t>PI1:</t>
        </r>
        <r>
          <rPr>
            <sz val="9"/>
            <color indexed="81"/>
            <rFont val="Tahoma"/>
            <family val="2"/>
          </rPr>
          <t xml:space="preserve">
Previously dated 03/01/20 until 08/23/20 weekly report</t>
        </r>
      </text>
    </comment>
    <comment ref="D504" authorId="1" shapeId="0" xr:uid="{B532601C-88F9-4C9E-B4F4-3CD4FCCCDCFB}">
      <text>
        <r>
          <rPr>
            <b/>
            <sz val="9"/>
            <color indexed="81"/>
            <rFont val="Tahoma"/>
            <family val="2"/>
          </rPr>
          <t>PI1:</t>
        </r>
        <r>
          <rPr>
            <sz val="9"/>
            <color indexed="81"/>
            <rFont val="Tahoma"/>
            <family val="2"/>
          </rPr>
          <t xml:space="preserve">
Previously 546-432 before invoice update</t>
        </r>
      </text>
    </comment>
  </commentList>
</comments>
</file>

<file path=xl/sharedStrings.xml><?xml version="1.0" encoding="utf-8"?>
<sst xmlns="http://schemas.openxmlformats.org/spreadsheetml/2006/main" count="3610" uniqueCount="1674">
  <si>
    <t>May 2020</t>
  </si>
  <si>
    <t>Total</t>
  </si>
  <si>
    <t>Income</t>
  </si>
  <si>
    <t xml:space="preserve">   40000 Revenue</t>
  </si>
  <si>
    <t xml:space="preserve">      41000 Corporate Sponsorship</t>
  </si>
  <si>
    <t xml:space="preserve">      42000 Ticket Sales</t>
  </si>
  <si>
    <t xml:space="preserve">      Total 42000 Ticket Sales</t>
  </si>
  <si>
    <t xml:space="preserve">      43000 Event Sponsorship</t>
  </si>
  <si>
    <t xml:space="preserve">      Total 43000 Event Sponsorship</t>
  </si>
  <si>
    <t xml:space="preserve">      45001 Membership</t>
  </si>
  <si>
    <t xml:space="preserve">         45250 Renewals</t>
  </si>
  <si>
    <t xml:space="preserve">         45500 New</t>
  </si>
  <si>
    <t xml:space="preserve">      Total 45001 Membership</t>
  </si>
  <si>
    <t xml:space="preserve">   Total 40000 Revenue</t>
  </si>
  <si>
    <t>Total Income</t>
  </si>
  <si>
    <t>Gross Profit</t>
  </si>
  <si>
    <t>Expenses</t>
  </si>
  <si>
    <t xml:space="preserve">   51000 General G &amp; A</t>
  </si>
  <si>
    <t xml:space="preserve">      51100 Insurance</t>
  </si>
  <si>
    <t xml:space="preserve">         51150 D&amp;O Insurance</t>
  </si>
  <si>
    <t xml:space="preserve">         51200 Liability Insurance</t>
  </si>
  <si>
    <t xml:space="preserve">         51250 Worker's Comp</t>
  </si>
  <si>
    <t xml:space="preserve">      Total 51100 Insurance</t>
  </si>
  <si>
    <t xml:space="preserve">      51600 Business Development</t>
  </si>
  <si>
    <t xml:space="preserve">      51700 Marketing</t>
  </si>
  <si>
    <t xml:space="preserve">      51825 Merchant Fees</t>
  </si>
  <si>
    <t xml:space="preserve">      51850 Filing Fees/Dues and Subscript</t>
  </si>
  <si>
    <t xml:space="preserve">   Total 51000 General G &amp; A</t>
  </si>
  <si>
    <t xml:space="preserve">   61000 Program Expenses</t>
  </si>
  <si>
    <t xml:space="preserve">   Total 61000 Program Expenses</t>
  </si>
  <si>
    <t xml:space="preserve">   62000 Salaries and Fringe</t>
  </si>
  <si>
    <t xml:space="preserve">      62200 401K Fees</t>
  </si>
  <si>
    <t xml:space="preserve">      62300 PR Taxes ER</t>
  </si>
  <si>
    <t xml:space="preserve">      62500 Salaries</t>
  </si>
  <si>
    <t xml:space="preserve">      62550 PTO</t>
  </si>
  <si>
    <t xml:space="preserve">      62600 Benefits</t>
  </si>
  <si>
    <t xml:space="preserve">      62700 Bonus</t>
  </si>
  <si>
    <t xml:space="preserve">      62725 Payroll Processing fee</t>
  </si>
  <si>
    <t xml:space="preserve">   Total 62000 Salaries and Fringe</t>
  </si>
  <si>
    <t xml:space="preserve">   63000 Outside Services/Consulting</t>
  </si>
  <si>
    <t xml:space="preserve">      63820 IT Solutions</t>
  </si>
  <si>
    <t xml:space="preserve">      63900 Consultants</t>
  </si>
  <si>
    <t xml:space="preserve">         63950 Accountant</t>
  </si>
  <si>
    <t xml:space="preserve">      Total 63900 Consultants</t>
  </si>
  <si>
    <t xml:space="preserve">   Total 63000 Outside Services/Consulting</t>
  </si>
  <si>
    <t xml:space="preserve">   70000 Facilities</t>
  </si>
  <si>
    <t xml:space="preserve">      70200 Phones</t>
  </si>
  <si>
    <t xml:space="preserve">      70300 Storage Unit Rent</t>
  </si>
  <si>
    <t xml:space="preserve">      70400 Office Supplies, Equip &amp; Furnishings</t>
  </si>
  <si>
    <t xml:space="preserve">      70500 Internet</t>
  </si>
  <si>
    <t xml:space="preserve">   Total 70000 Facilities</t>
  </si>
  <si>
    <t>Total Expenses</t>
  </si>
  <si>
    <t>Net Operating Income</t>
  </si>
  <si>
    <t>Net Income</t>
  </si>
  <si>
    <t>Profit and Loss</t>
  </si>
  <si>
    <t>TOTAL LIABILITIES AND EQUITY</t>
  </si>
  <si>
    <t xml:space="preserve">   Total Equity</t>
  </si>
  <si>
    <t xml:space="preserve">      Net Income</t>
  </si>
  <si>
    <t xml:space="preserve">      32000 Unrestricted Net Assets</t>
  </si>
  <si>
    <t xml:space="preserve">   Equity</t>
  </si>
  <si>
    <t xml:space="preserve">   Total Liabilities</t>
  </si>
  <si>
    <t xml:space="preserve">      Total Current Liabilities</t>
  </si>
  <si>
    <t xml:space="preserve">         Total Other Current Liabilities</t>
  </si>
  <si>
    <t xml:space="preserve">            Total 25300 Deferred Ticket Sales</t>
  </si>
  <si>
    <t xml:space="preserve">            25300 Deferred Ticket Sales</t>
  </si>
  <si>
    <t xml:space="preserve">            25050 Deferred Event Sponsorship (Other Events)</t>
  </si>
  <si>
    <t xml:space="preserve">            25000 Deferred Corporate Sponsorship Revenue</t>
  </si>
  <si>
    <t xml:space="preserve">            24000 Bonus Liabilities</t>
  </si>
  <si>
    <t xml:space="preserve">            23000 Payroll Clearing</t>
  </si>
  <si>
    <t xml:space="preserve">            22500 Accrued Vacation</t>
  </si>
  <si>
    <t xml:space="preserve">         Other Current Liabilities</t>
  </si>
  <si>
    <t xml:space="preserve">         Total Credit Cards</t>
  </si>
  <si>
    <t xml:space="preserve">         Credit Cards</t>
  </si>
  <si>
    <t xml:space="preserve">         Total Accounts Payable</t>
  </si>
  <si>
    <t xml:space="preserve">            20000 Accounts Payable</t>
  </si>
  <si>
    <t xml:space="preserve">         Accounts Payable</t>
  </si>
  <si>
    <t xml:space="preserve">      Current Liabilities</t>
  </si>
  <si>
    <t xml:space="preserve">   Liabilities</t>
  </si>
  <si>
    <t>LIABILITIES AND EQUITY</t>
  </si>
  <si>
    <t>TOTAL ASSETS</t>
  </si>
  <si>
    <t xml:space="preserve">   Total Fixed Assets</t>
  </si>
  <si>
    <t xml:space="preserve">      15400 Computer Equipment</t>
  </si>
  <si>
    <t xml:space="preserve">   Fixed Assets</t>
  </si>
  <si>
    <t xml:space="preserve">   Total Current Assets</t>
  </si>
  <si>
    <t xml:space="preserve">      Total Other Current Assets</t>
  </si>
  <si>
    <t xml:space="preserve">         13250 Prepaid Health Insurance</t>
  </si>
  <si>
    <t xml:space="preserve">         13000 Prepaid expenses</t>
  </si>
  <si>
    <t xml:space="preserve">         12050 Wix Clearing Account</t>
  </si>
  <si>
    <t xml:space="preserve">      Other Current Assets</t>
  </si>
  <si>
    <t xml:space="preserve">      Total Accounts Receivable</t>
  </si>
  <si>
    <t xml:space="preserve">         11000 Accounts Receivable</t>
  </si>
  <si>
    <t xml:space="preserve">      Accounts Receivable</t>
  </si>
  <si>
    <t xml:space="preserve">      Total Bank Accounts</t>
  </si>
  <si>
    <t xml:space="preserve">         10085 Paypal</t>
  </si>
  <si>
    <t xml:space="preserve">         10075 Wells Fargo Checking - 8138</t>
  </si>
  <si>
    <t xml:space="preserve">      Bank Accounts</t>
  </si>
  <si>
    <t xml:space="preserve">   Current Assets</t>
  </si>
  <si>
    <t>ASSETS</t>
  </si>
  <si>
    <t>Balance Sheet</t>
  </si>
  <si>
    <t xml:space="preserve">      44000 Sponsored Digital Content</t>
  </si>
  <si>
    <t>over Budget</t>
  </si>
  <si>
    <t>Budget</t>
  </si>
  <si>
    <t>Actual</t>
  </si>
  <si>
    <t>TOTAL</t>
  </si>
  <si>
    <t>Sony Electronics</t>
  </si>
  <si>
    <t>Morrison &amp; Foerster</t>
  </si>
  <si>
    <t>Dentons US, LLP</t>
  </si>
  <si>
    <t>Accenture</t>
  </si>
  <si>
    <t>91 and over</t>
  </si>
  <si>
    <t>61 - 90</t>
  </si>
  <si>
    <t>31 - 60</t>
  </si>
  <si>
    <t>1 - 30</t>
  </si>
  <si>
    <t>Current</t>
  </si>
  <si>
    <t>A/R Aging Summary</t>
  </si>
  <si>
    <t>Statement of Financial Position Comparison</t>
  </si>
  <si>
    <t>Revenues:</t>
  </si>
  <si>
    <t>Current Assets</t>
  </si>
  <si>
    <t>Corporate Partnership</t>
  </si>
  <si>
    <t>Bank Accounts</t>
  </si>
  <si>
    <t>Accounts Receivable</t>
  </si>
  <si>
    <t>Other Current Assets</t>
  </si>
  <si>
    <t>Total Current Assets</t>
  </si>
  <si>
    <t>Fixed Assets</t>
  </si>
  <si>
    <t>Sponsored Digital Content</t>
  </si>
  <si>
    <t>Membership</t>
  </si>
  <si>
    <t>Total Assets</t>
  </si>
  <si>
    <t>Current Liabilities</t>
  </si>
  <si>
    <t>Accounts Payable</t>
  </si>
  <si>
    <t>Total Revenues</t>
  </si>
  <si>
    <t>Credit Cards</t>
  </si>
  <si>
    <t>Expenses:</t>
  </si>
  <si>
    <t>Payroll Liabilities</t>
  </si>
  <si>
    <t>General Administration</t>
  </si>
  <si>
    <t>Deferred Revenue</t>
  </si>
  <si>
    <t>Program Expenses</t>
  </si>
  <si>
    <t>Salaries &amp; Fringe</t>
  </si>
  <si>
    <t>Outside Services/Consulting</t>
  </si>
  <si>
    <t>Total Current Liabilities</t>
  </si>
  <si>
    <t>Non-Current Liabilities</t>
  </si>
  <si>
    <t>Facilities</t>
  </si>
  <si>
    <t>Equity</t>
  </si>
  <si>
    <t>Total Liabilities and Equity</t>
  </si>
  <si>
    <t>Company</t>
  </si>
  <si>
    <t>Invoice #</t>
  </si>
  <si>
    <t>Start Date</t>
  </si>
  <si>
    <t>End Date</t>
  </si>
  <si>
    <t>Invoice</t>
  </si>
  <si>
    <t>Amort. Amt</t>
  </si>
  <si>
    <t>Invoiced</t>
  </si>
  <si>
    <t>Def Rev</t>
  </si>
  <si>
    <t>BDO USA</t>
  </si>
  <si>
    <t>Cooley</t>
  </si>
  <si>
    <t>Correlation Ventures</t>
  </si>
  <si>
    <t>546-412</t>
  </si>
  <si>
    <t>Dentons (Fmr: McKenna Long)</t>
  </si>
  <si>
    <t>546-413</t>
  </si>
  <si>
    <t>DLA Piper</t>
  </si>
  <si>
    <t>546-438</t>
  </si>
  <si>
    <t>Ernst &amp; Young</t>
  </si>
  <si>
    <t>546-431</t>
  </si>
  <si>
    <t>Heron Therapeutics</t>
  </si>
  <si>
    <t>Illumina</t>
  </si>
  <si>
    <t>Intuit</t>
  </si>
  <si>
    <t>546-418</t>
  </si>
  <si>
    <t>Kofax</t>
  </si>
  <si>
    <t>546-446</t>
  </si>
  <si>
    <t>KPMG</t>
  </si>
  <si>
    <t>546-433</t>
  </si>
  <si>
    <t>Life in Focus (Alessandra Wall)</t>
  </si>
  <si>
    <t>Mitchell Int.</t>
  </si>
  <si>
    <t>546-459</t>
  </si>
  <si>
    <t>Nordson</t>
  </si>
  <si>
    <t>Academy of Our Lady of Peace</t>
  </si>
  <si>
    <t>546-456</t>
  </si>
  <si>
    <t>Oracle Insight</t>
  </si>
  <si>
    <t>546-430</t>
  </si>
  <si>
    <t>Port of San Diego</t>
  </si>
  <si>
    <t>546-448</t>
  </si>
  <si>
    <t>PwC</t>
  </si>
  <si>
    <t>Qualcomm</t>
  </si>
  <si>
    <t>546-432</t>
  </si>
  <si>
    <t>Retrophin</t>
  </si>
  <si>
    <t>546-373</t>
  </si>
  <si>
    <t>546-423</t>
  </si>
  <si>
    <t>Synthetic Genomics</t>
  </si>
  <si>
    <t>Takeda Pharma</t>
  </si>
  <si>
    <t>Tandem Diabetes Care</t>
  </si>
  <si>
    <t>546-469</t>
  </si>
  <si>
    <t>Teradata</t>
  </si>
  <si>
    <t>546-420</t>
  </si>
  <si>
    <t>Thermo Fisher Scientific</t>
  </si>
  <si>
    <t>546-424</t>
  </si>
  <si>
    <t>The Toft Group</t>
  </si>
  <si>
    <t>546-436</t>
  </si>
  <si>
    <t>Wilson Sonsini</t>
  </si>
  <si>
    <t>Wilson Turner Kosmo</t>
  </si>
  <si>
    <t>546-450</t>
  </si>
  <si>
    <t>TOTALS - Monthly Journal Entries</t>
  </si>
  <si>
    <t>Renewal Company</t>
  </si>
  <si>
    <t>Renewal Date</t>
  </si>
  <si>
    <t>Amount</t>
  </si>
  <si>
    <t>Paid</t>
  </si>
  <si>
    <t>Notes</t>
  </si>
  <si>
    <t>2020 Attrition</t>
  </si>
  <si>
    <t>Sponsorship</t>
  </si>
  <si>
    <t>2020 Losses</t>
  </si>
  <si>
    <t>2021 Losses</t>
  </si>
  <si>
    <t>CSUSM</t>
  </si>
  <si>
    <t>JLABS</t>
  </si>
  <si>
    <t>SDG&amp;E (Sempra)</t>
  </si>
  <si>
    <t>Latham and Watkins</t>
  </si>
  <si>
    <t>Converted to event sponsor</t>
  </si>
  <si>
    <t>2020 Acquisition</t>
  </si>
  <si>
    <t>2020 Accrual</t>
  </si>
  <si>
    <t>2021 Accrual</t>
  </si>
  <si>
    <t>No</t>
  </si>
  <si>
    <t>Life In Focus</t>
  </si>
  <si>
    <t>Yes</t>
  </si>
  <si>
    <t>Paid two years in advance</t>
  </si>
  <si>
    <t>546-465</t>
  </si>
  <si>
    <t>Tandem</t>
  </si>
  <si>
    <t>Becton Dickinson</t>
  </si>
  <si>
    <t>546-473</t>
  </si>
  <si>
    <t>Target Acquisition Month</t>
  </si>
  <si>
    <t>Target Sponsor</t>
  </si>
  <si>
    <t>August 2020</t>
  </si>
  <si>
    <t>TOOTRis</t>
  </si>
  <si>
    <t>Truvian</t>
  </si>
  <si>
    <t>Cooley LLP</t>
  </si>
  <si>
    <t>September 2020</t>
  </si>
  <si>
    <t>Prescient Therapuetics</t>
  </si>
  <si>
    <t>Bumblebee</t>
  </si>
  <si>
    <t>October 2020</t>
  </si>
  <si>
    <t>Cubic</t>
  </si>
  <si>
    <t>Willis Tower Watson</t>
  </si>
  <si>
    <t>Brain Corp.</t>
  </si>
  <si>
    <t>Dexcom</t>
  </si>
  <si>
    <t>ServiceNow</t>
  </si>
  <si>
    <t>Projected Total</t>
  </si>
  <si>
    <t>Did not renew corporate membership</t>
  </si>
  <si>
    <t>Date Lost</t>
  </si>
  <si>
    <t>2020 Leads Declined</t>
  </si>
  <si>
    <t>Foley</t>
  </si>
  <si>
    <t>7.28 Froze all spending. Talk to in 2021</t>
  </si>
  <si>
    <t>1-January 2020</t>
  </si>
  <si>
    <t xml:space="preserve">CGI </t>
  </si>
  <si>
    <t>Dead</t>
  </si>
  <si>
    <t>6/17 - Moving to event sponsorship</t>
  </si>
  <si>
    <t>SVB</t>
  </si>
  <si>
    <t>6/17 Not renewing</t>
  </si>
  <si>
    <t>Uber</t>
  </si>
  <si>
    <t>6/9 Not renewing</t>
  </si>
  <si>
    <t>Abacus</t>
  </si>
  <si>
    <t>Mirati</t>
  </si>
  <si>
    <t>Intersection Real Estate</t>
  </si>
  <si>
    <t>2/20 Invoice deemed uncollectible</t>
  </si>
  <si>
    <t>3-March 2020</t>
  </si>
  <si>
    <t>LPL Financial</t>
  </si>
  <si>
    <t>Latham &amp; Watkins</t>
  </si>
  <si>
    <t>Lost</t>
  </si>
  <si>
    <t>Acadia</t>
  </si>
  <si>
    <t>Willis Towers Watson</t>
  </si>
  <si>
    <t>June 2020</t>
  </si>
  <si>
    <t>Verizon</t>
  </si>
  <si>
    <t>JLABS San Diego</t>
  </si>
  <si>
    <t>July 2020</t>
  </si>
  <si>
    <t>Robert Half</t>
  </si>
  <si>
    <t>Grant Thornton</t>
  </si>
  <si>
    <t>Leadership Edge</t>
  </si>
  <si>
    <t>Didn't want to pay</t>
  </si>
  <si>
    <t>Marsh &amp; McClellan Agency</t>
  </si>
  <si>
    <t>Removed-Not a sponsorship</t>
  </si>
  <si>
    <t>Viasat</t>
  </si>
  <si>
    <t>corp or event</t>
  </si>
  <si>
    <t>2019 Acquisition</t>
  </si>
  <si>
    <t>2019 Accrual</t>
  </si>
  <si>
    <t>Toft Group</t>
  </si>
  <si>
    <t>Wilson Turner</t>
  </si>
  <si>
    <t xml:space="preserve">Totals </t>
  </si>
  <si>
    <t>Target Acquisitions who declined 2019</t>
  </si>
  <si>
    <t>DA's Office</t>
  </si>
  <si>
    <t>NPD</t>
  </si>
  <si>
    <t>Amazon</t>
  </si>
  <si>
    <t>Airport</t>
  </si>
  <si>
    <t>CBRE</t>
  </si>
  <si>
    <t>Woodruff Sawyer</t>
  </si>
  <si>
    <t>Gossamer Bio</t>
  </si>
  <si>
    <t>SC Design</t>
  </si>
  <si>
    <t>JLL</t>
  </si>
  <si>
    <t>Pfenex</t>
  </si>
  <si>
    <t>12-December 2019</t>
  </si>
  <si>
    <t>Nuvasive</t>
  </si>
  <si>
    <t>Date</t>
  </si>
  <si>
    <t>Event Sponsor 1</t>
  </si>
  <si>
    <t>A la Carte Event Sponsorship</t>
  </si>
  <si>
    <t>Note</t>
  </si>
  <si>
    <t>Key</t>
  </si>
  <si>
    <t>AOB Session #2 Cohort 2</t>
  </si>
  <si>
    <t>Recognized 11/5/2019</t>
  </si>
  <si>
    <t>Completed</t>
  </si>
  <si>
    <t>Spring CEO Dinner</t>
  </si>
  <si>
    <t>Denton's and Kofax</t>
  </si>
  <si>
    <t>Recognized 2/20</t>
  </si>
  <si>
    <t>Team Review</t>
  </si>
  <si>
    <t>ASIG #1</t>
  </si>
  <si>
    <t>MentorFest</t>
  </si>
  <si>
    <t>AOB Session #3 Cohort 2</t>
  </si>
  <si>
    <t>x</t>
  </si>
  <si>
    <t>LSIG #1 (COVID)</t>
  </si>
  <si>
    <t>Virtual</t>
  </si>
  <si>
    <t>Sig Series #1</t>
  </si>
  <si>
    <t>HCW Workshop #3</t>
  </si>
  <si>
    <t>WTK</t>
  </si>
  <si>
    <t>ASIG #2 - Crossgenerational</t>
  </si>
  <si>
    <t>Athena Academy #1</t>
  </si>
  <si>
    <t>AOB Session #1 Cohort 3</t>
  </si>
  <si>
    <t>No sponsor</t>
  </si>
  <si>
    <t>$1,495 non-member, $1,195 member</t>
  </si>
  <si>
    <t>LSIG #2 - Fireside Chat Dawn Barry</t>
  </si>
  <si>
    <t>MoFo</t>
  </si>
  <si>
    <t>Athena Academy #2</t>
  </si>
  <si>
    <t>TSIG #1 - AI/ML</t>
  </si>
  <si>
    <t>AOB Session #2 Cohort 3</t>
  </si>
  <si>
    <t>Athena Academy #3</t>
  </si>
  <si>
    <t>Sig Series #2 - AmyK</t>
  </si>
  <si>
    <t>AOB Session #1 Cohort 4</t>
  </si>
  <si>
    <t>TSIG #2/LSIG</t>
  </si>
  <si>
    <t>AOB Session #3 Cohort 3</t>
  </si>
  <si>
    <t>ASIG Annual MentorFest (#3)</t>
  </si>
  <si>
    <t>HCW Workshop #1</t>
  </si>
  <si>
    <t xml:space="preserve">Fall CXO Dinner </t>
  </si>
  <si>
    <t>Fall CFO Dinner</t>
  </si>
  <si>
    <t>Annual Holiday Party</t>
  </si>
  <si>
    <t>Totals</t>
  </si>
  <si>
    <t>Heron</t>
  </si>
  <si>
    <t>Customer</t>
  </si>
  <si>
    <t>Invoice Date</t>
  </si>
  <si>
    <t>Type of Event</t>
  </si>
  <si>
    <t>Value</t>
  </si>
  <si>
    <t>Entered above</t>
  </si>
  <si>
    <t>25050 Deferred Event Sponsorship (Other Events)</t>
  </si>
  <si>
    <t>PwC Signature Series</t>
  </si>
  <si>
    <t>Signature Series</t>
  </si>
  <si>
    <t>546-364</t>
  </si>
  <si>
    <t>Teradata (2019-2020) sponsorship</t>
  </si>
  <si>
    <t>Teradata (2020-2021) sponsorship</t>
  </si>
  <si>
    <t>Intuit (2020)</t>
  </si>
  <si>
    <t>TSIG AI/ML Series</t>
  </si>
  <si>
    <t>TSIG Return to Tech</t>
  </si>
  <si>
    <t>SDGE (May change)</t>
  </si>
  <si>
    <t>Digital Sponsorship</t>
  </si>
  <si>
    <t>MMA (2020)</t>
  </si>
  <si>
    <t>CFO Fall Dinner</t>
  </si>
  <si>
    <t>546-428</t>
  </si>
  <si>
    <t>CFO Forum</t>
  </si>
  <si>
    <t>Athena Academy</t>
  </si>
  <si>
    <t>546-455</t>
  </si>
  <si>
    <t>CEO Forum</t>
  </si>
  <si>
    <t>ASIG MentorFest</t>
  </si>
  <si>
    <t>546-447</t>
  </si>
  <si>
    <t>(October 2020)</t>
  </si>
  <si>
    <t>Wilson Turner Kosmo LLP</t>
  </si>
  <si>
    <t>Pinnacle</t>
  </si>
  <si>
    <t>Pinnacle dessert</t>
  </si>
  <si>
    <t>Teknion</t>
  </si>
  <si>
    <t>Pinnacle Lanyard Sponsorship</t>
  </si>
  <si>
    <t>546-426</t>
  </si>
  <si>
    <t>MMA (May change)</t>
  </si>
  <si>
    <t>Alexandria Real Estate</t>
  </si>
  <si>
    <t>Pinnacle Wine Tap</t>
  </si>
  <si>
    <t>546-434</t>
  </si>
  <si>
    <t>546-454</t>
  </si>
  <si>
    <t>Mintz-Levin</t>
  </si>
  <si>
    <t>546-439</t>
  </si>
  <si>
    <t>2020 Pinnacle Awards</t>
  </si>
  <si>
    <t>546-470</t>
  </si>
  <si>
    <t>Recognized Event Revenue</t>
  </si>
  <si>
    <t>Recognized</t>
  </si>
  <si>
    <t>Distinguished Speakers Series- Irvine &amp; CEO Dinner</t>
  </si>
  <si>
    <t>546-379</t>
  </si>
  <si>
    <t>Dentons</t>
  </si>
  <si>
    <t>Thermo</t>
  </si>
  <si>
    <t>Q1 ASIG Career Transition</t>
  </si>
  <si>
    <t>546-393</t>
  </si>
  <si>
    <t>Completed 3/3/20</t>
  </si>
  <si>
    <t>Q1 MentorFest</t>
  </si>
  <si>
    <t>Completed 3/5/20</t>
  </si>
  <si>
    <t>LSIG #1 (Genomics)</t>
  </si>
  <si>
    <t>05/28/20-</t>
  </si>
  <si>
    <t>Virtual program April/May.  (Founding sponsor of three part "woman's leadership" workshop hosted on Qualcomm campus: September 10th, October 8th and November 12th.)</t>
  </si>
  <si>
    <t>LSIG Fireside Chat with Dawn Barry</t>
  </si>
  <si>
    <t>546-464</t>
  </si>
  <si>
    <t>(September 2020)</t>
  </si>
  <si>
    <t>Removed</t>
  </si>
  <si>
    <t>Invoice deemed uncollectible 2/20</t>
  </si>
  <si>
    <t>ASIG Q1 20</t>
  </si>
  <si>
    <t>LSIG Event Sponsor</t>
  </si>
  <si>
    <t>546-449</t>
  </si>
  <si>
    <t>Deleted 04/27</t>
  </si>
  <si>
    <t>546-452 | 546-471</t>
  </si>
  <si>
    <t>4/3 and 8/4</t>
  </si>
  <si>
    <t>546-475</t>
  </si>
  <si>
    <t>546-477</t>
  </si>
  <si>
    <t>546-476</t>
  </si>
  <si>
    <t>Inova Diagnostics</t>
  </si>
  <si>
    <t>Deloitte</t>
  </si>
  <si>
    <t>Can't fund 501c3 - only fund c4</t>
  </si>
  <si>
    <t>9.01 contact left</t>
  </si>
  <si>
    <t>Cooley, LLP</t>
  </si>
  <si>
    <t>Athena on Boards | Cohort 4 | September 2020</t>
  </si>
  <si>
    <t>We Can Rise</t>
  </si>
  <si>
    <t>546-480</t>
  </si>
  <si>
    <t>546-479</t>
  </si>
  <si>
    <t>9.22 Recognizing over 12 months April to March</t>
  </si>
  <si>
    <t>546-478</t>
  </si>
  <si>
    <t>NEO Genomics</t>
  </si>
  <si>
    <t>9.22 Nothing this year</t>
  </si>
  <si>
    <t>9.29 KF - deferred to future period</t>
  </si>
  <si>
    <t>Part of $11k invoice</t>
  </si>
  <si>
    <t>Networking</t>
  </si>
  <si>
    <t>Board</t>
  </si>
  <si>
    <t>DSS</t>
  </si>
  <si>
    <t>Sig Series</t>
  </si>
  <si>
    <t xml:space="preserve">            10530 WFB Credit Card 7495</t>
  </si>
  <si>
    <t>December 2020</t>
  </si>
  <si>
    <t>546-472</t>
  </si>
  <si>
    <t>LSIG</t>
  </si>
  <si>
    <t>546-483</t>
  </si>
  <si>
    <t>PWC</t>
  </si>
  <si>
    <t>546-485</t>
  </si>
  <si>
    <t>546-484</t>
  </si>
  <si>
    <t>546-487</t>
  </si>
  <si>
    <t>Gallagher</t>
  </si>
  <si>
    <t>Inseego</t>
  </si>
  <si>
    <t>10.15 Event Sponsor</t>
  </si>
  <si>
    <t>AOB Session #1 Cohort 5</t>
  </si>
  <si>
    <t>Athena BOD</t>
  </si>
  <si>
    <t>deleted</t>
  </si>
  <si>
    <t>Athena On Boards Series 5 | Dec. 2020 Launch</t>
  </si>
  <si>
    <t>Illumina, Inc.</t>
  </si>
  <si>
    <t>CXO Forum Co-Sponsorship</t>
  </si>
  <si>
    <t>546-486</t>
  </si>
  <si>
    <t>Athena On Boards Series 4 | Sept. 2020 launch</t>
  </si>
  <si>
    <t>546-488</t>
  </si>
  <si>
    <t>10.30 Invoiced</t>
  </si>
  <si>
    <t>10.22 Invoiced</t>
  </si>
  <si>
    <t>2021 Program TBD</t>
  </si>
  <si>
    <t>Invoice created on 11/13/2020</t>
  </si>
  <si>
    <t>LSIG (Life Sciences) Program</t>
  </si>
  <si>
    <t>546-482</t>
  </si>
  <si>
    <t>Travere (Retrophin)</t>
  </si>
  <si>
    <t>11.17 check in mail</t>
  </si>
  <si>
    <t>11.17 KS paying in 2021</t>
  </si>
  <si>
    <t>Vertex</t>
  </si>
  <si>
    <t>Pfizer</t>
  </si>
  <si>
    <t>Needs to be recognized</t>
  </si>
  <si>
    <t>Wix | October 2020</t>
  </si>
  <si>
    <t>BOD Event Sponsorship 12/09/20</t>
  </si>
  <si>
    <t>SDG&amp;E</t>
  </si>
  <si>
    <t>Pfizer, Inc</t>
  </si>
  <si>
    <t>546-489</t>
  </si>
  <si>
    <t>12.01 HS following up</t>
  </si>
  <si>
    <t>546-490</t>
  </si>
  <si>
    <t>11.30 HS converted to event</t>
  </si>
  <si>
    <t>AOB Session #2 Cohort 4</t>
  </si>
  <si>
    <t>Recognized previously</t>
  </si>
  <si>
    <t>SDGE</t>
  </si>
  <si>
    <t>TSIG October 2020</t>
  </si>
  <si>
    <t>Wix | November 2020</t>
  </si>
  <si>
    <t>Sponsorship of Athena’s 2021 Annual Pinnacle Awards</t>
  </si>
  <si>
    <t>Annual 2021 Pinnacle Awards</t>
  </si>
  <si>
    <t>Recognized Pinnacle Table Sales | Sponsorships</t>
  </si>
  <si>
    <t>Two Bear Capital</t>
  </si>
  <si>
    <t>546-493</t>
  </si>
  <si>
    <t>12.08 not joining</t>
  </si>
  <si>
    <t>AOB Session #3 Cohort 4</t>
  </si>
  <si>
    <t>AOB Session #2 Cohort 5</t>
  </si>
  <si>
    <t>AOB Session #3 Cohort 5</t>
  </si>
  <si>
    <t>Needs to be recognized in June event</t>
  </si>
  <si>
    <t>546-492</t>
  </si>
  <si>
    <t>Digital Sponsorship 1/1/21-12/31/21</t>
  </si>
  <si>
    <t>546-491</t>
  </si>
  <si>
    <t>Digital Sponsorship 1/1/21-6/30/21</t>
  </si>
  <si>
    <t>Ackerman Foundation</t>
  </si>
  <si>
    <t>546-495</t>
  </si>
  <si>
    <t>Mesa Biotech</t>
  </si>
  <si>
    <t>February 2021</t>
  </si>
  <si>
    <t>GenMark</t>
  </si>
  <si>
    <t>Arista MD</t>
  </si>
  <si>
    <t>Slalom</t>
  </si>
  <si>
    <t>AI Shield</t>
  </si>
  <si>
    <t>12.08 Recognized 06/30/20</t>
  </si>
  <si>
    <t>DLA $3.5k</t>
  </si>
  <si>
    <t>PWC $10k</t>
  </si>
  <si>
    <t>MMA 7.5k</t>
  </si>
  <si>
    <t>EY 3.5k</t>
  </si>
  <si>
    <t>TSIG #1</t>
  </si>
  <si>
    <t>AOB Session #1 Cohort 6</t>
  </si>
  <si>
    <t>AOB Session #2 Cohort 6</t>
  </si>
  <si>
    <t>AOB Session #3 Cohort 6</t>
  </si>
  <si>
    <t>546-496</t>
  </si>
  <si>
    <t>25450 Deferred Digital Sponsorship</t>
  </si>
  <si>
    <t>Digital Sponsorship 1/1/21 - 12/31/21</t>
  </si>
  <si>
    <t>Recognized Digital Sponsorship Revenue</t>
  </si>
  <si>
    <t>1 of 6</t>
  </si>
  <si>
    <t>2 of 6</t>
  </si>
  <si>
    <t>3 of 6</t>
  </si>
  <si>
    <t>4 of 6</t>
  </si>
  <si>
    <t>5 of 6</t>
  </si>
  <si>
    <t>6 of 6</t>
  </si>
  <si>
    <t>Removed 12/21/20</t>
  </si>
  <si>
    <t xml:space="preserve">            25450 Deferred Digital Sponsorship</t>
  </si>
  <si>
    <t>NeoGenomics</t>
  </si>
  <si>
    <t>546-504</t>
  </si>
  <si>
    <t>546-501</t>
  </si>
  <si>
    <t>2021 Acquisition</t>
  </si>
  <si>
    <t>2022 Accrual</t>
  </si>
  <si>
    <t>546-506</t>
  </si>
  <si>
    <t>01/01/21-12/31/21</t>
  </si>
  <si>
    <t>546-500</t>
  </si>
  <si>
    <t>Mirati Therapeutics</t>
  </si>
  <si>
    <t>02/01/21-01/31/22</t>
  </si>
  <si>
    <t>546-509</t>
  </si>
  <si>
    <t>546-505</t>
  </si>
  <si>
    <t>March 2021</t>
  </si>
  <si>
    <t>Biomed Realty</t>
  </si>
  <si>
    <t>2021 Leads Declined</t>
  </si>
  <si>
    <t>01.19 Converted to event(We Can Rise)</t>
  </si>
  <si>
    <t>Qtly Networking Event</t>
  </si>
  <si>
    <t>TSIG #2</t>
  </si>
  <si>
    <t>TSIG #3 AIML</t>
  </si>
  <si>
    <t>Intuit (09/11/20 invoice)</t>
  </si>
  <si>
    <t>TSIG</t>
  </si>
  <si>
    <t>2021 C-Level Forum Sponsorship</t>
  </si>
  <si>
    <t>546-502</t>
  </si>
  <si>
    <t>2021 Signature Series Program Sponsorship</t>
  </si>
  <si>
    <t>(1) Event Sponsorship | Time &amp; Details TBD</t>
  </si>
  <si>
    <t>2021 CFO Forum Sponsorship</t>
  </si>
  <si>
    <t>23rd Annual Pinnacle Awards Dessert Sponsor w/ 40 Pinnacle Tickets</t>
  </si>
  <si>
    <t>Encore Capital Group</t>
  </si>
  <si>
    <t>Lifting While Climbing Summit | Workplace DE&amp;I Advisory Council Founding Membership 2021</t>
  </si>
  <si>
    <t>546-508</t>
  </si>
  <si>
    <t>1 of 12</t>
  </si>
  <si>
    <t>546-507</t>
  </si>
  <si>
    <t>546-510</t>
  </si>
  <si>
    <t>Resmed</t>
  </si>
  <si>
    <t>ResMed</t>
  </si>
  <si>
    <t>546-514</t>
  </si>
  <si>
    <t>01.19 removed - No $</t>
  </si>
  <si>
    <t>01.26 removed - MIA</t>
  </si>
  <si>
    <t>02.09 removed - MIA</t>
  </si>
  <si>
    <t>02.16 removed - MIA</t>
  </si>
  <si>
    <t>03.02 removed - MIA</t>
  </si>
  <si>
    <t>ASIG</t>
  </si>
  <si>
    <t>LSIG Fireside Chat</t>
  </si>
  <si>
    <t>CXO Forum</t>
  </si>
  <si>
    <t>PWC &amp; DLA</t>
  </si>
  <si>
    <t>EY, MMA</t>
  </si>
  <si>
    <t>EY $3.5k invoiced.  MMA $5k invoiced</t>
  </si>
  <si>
    <t xml:space="preserve">ASIG | Q1 | Top Characteristics of Highly Effective Women </t>
  </si>
  <si>
    <t>Q3 | Technology Special Interest Group Event</t>
  </si>
  <si>
    <t>2021 CXO Forum | March 2021</t>
  </si>
  <si>
    <t>Removed on 02/23/21</t>
  </si>
  <si>
    <t>Marsh and McLennan Agency</t>
  </si>
  <si>
    <t>2021 CFO Forum</t>
  </si>
  <si>
    <t>546-513</t>
  </si>
  <si>
    <t>2021 Fireside Chat | Life Sciences Special Interest Group (LSIG)</t>
  </si>
  <si>
    <t>Digital Sponsorship Job Board</t>
  </si>
  <si>
    <t>Lifting While Climbing Summit | Workplace DE&amp;I Advisory Council</t>
  </si>
  <si>
    <t>546-511</t>
  </si>
  <si>
    <t>Lifting While Climbing Summit</t>
  </si>
  <si>
    <t>Mitchell International</t>
  </si>
  <si>
    <t>546-512</t>
  </si>
  <si>
    <t>546-515</t>
  </si>
  <si>
    <t>2 of 12</t>
  </si>
  <si>
    <t>% of Budget</t>
  </si>
  <si>
    <t>BioMed Realty</t>
  </si>
  <si>
    <t>546-517</t>
  </si>
  <si>
    <t>546-518</t>
  </si>
  <si>
    <t>April 2021</t>
  </si>
  <si>
    <t>Fragomen</t>
  </si>
  <si>
    <t>July 2021</t>
  </si>
  <si>
    <t>Neurocrine</t>
  </si>
  <si>
    <t>03.23 Thermo bought</t>
  </si>
  <si>
    <t>03.23 removed - MGC</t>
  </si>
  <si>
    <t>No rev rec</t>
  </si>
  <si>
    <t>Microagression Part 2</t>
  </si>
  <si>
    <t>Recognized in December</t>
  </si>
  <si>
    <t>546-516</t>
  </si>
  <si>
    <t>3 of 12</t>
  </si>
  <si>
    <t>04/01/21-03/31/22</t>
  </si>
  <si>
    <t>04.06 removed - MIA</t>
  </si>
  <si>
    <t>546-519</t>
  </si>
  <si>
    <t>2021 Attrition</t>
  </si>
  <si>
    <t>2022 Losses</t>
  </si>
  <si>
    <t>546-521</t>
  </si>
  <si>
    <t>aTyr</t>
  </si>
  <si>
    <t>HSBC</t>
  </si>
  <si>
    <t>Workday</t>
  </si>
  <si>
    <t>Poseida</t>
  </si>
  <si>
    <t>05.03 Nonrenewal</t>
  </si>
  <si>
    <t>Athena Academy #1 Cohort 2</t>
  </si>
  <si>
    <t>Athena Academy #2 Cohort 2</t>
  </si>
  <si>
    <t>Athena Academy #3 Cohort 2</t>
  </si>
  <si>
    <t>Athena Academy #4 Cohort 2</t>
  </si>
  <si>
    <t>Athena Academy #1 Cohort 3</t>
  </si>
  <si>
    <t>Balance</t>
  </si>
  <si>
    <t>The Magic of Mentorship 4/1/21-11/30/21</t>
  </si>
  <si>
    <t>DermTech</t>
  </si>
  <si>
    <t>Job Board | April 2021 - April 2022</t>
  </si>
  <si>
    <t>546-520</t>
  </si>
  <si>
    <t>4 of 12</t>
  </si>
  <si>
    <t>1 of 8</t>
  </si>
  <si>
    <t xml:space="preserve">      61520 Event Production</t>
  </si>
  <si>
    <t>YTD Budget to Actuals Variance</t>
  </si>
  <si>
    <t>2021 Athena Academy</t>
  </si>
  <si>
    <t>546-524</t>
  </si>
  <si>
    <t>Digital Sponsorship | Women in STEM Job Board  06/2021-06/2022</t>
  </si>
  <si>
    <t>546-525</t>
  </si>
  <si>
    <t>5 of 12</t>
  </si>
  <si>
    <t>2 of 8</t>
  </si>
  <si>
    <t>June 2021</t>
  </si>
  <si>
    <t>546-523</t>
  </si>
  <si>
    <t>Fisher Phillips</t>
  </si>
  <si>
    <t>BeanStock Ventures</t>
  </si>
  <si>
    <t>Ticket Sales - LWC</t>
  </si>
  <si>
    <t>Ticket Sales - Non LWC</t>
  </si>
  <si>
    <t>Event Sponsorship - LWC</t>
  </si>
  <si>
    <t>Event Sponsorship - Non LWC</t>
  </si>
  <si>
    <t>546-528</t>
  </si>
  <si>
    <t>07/01/21-06/30/22</t>
  </si>
  <si>
    <t>546-530</t>
  </si>
  <si>
    <t>Helix Electric</t>
  </si>
  <si>
    <t>546-529</t>
  </si>
  <si>
    <t>Cradle Genomics</t>
  </si>
  <si>
    <t>546-526</t>
  </si>
  <si>
    <t>06.29 removed - MIA</t>
  </si>
  <si>
    <t>07.06 removed - MIA</t>
  </si>
  <si>
    <t>Converted to Event/Lost</t>
  </si>
  <si>
    <t>AOB Session #1 of 3</t>
  </si>
  <si>
    <t>ASIG - Negotiation</t>
  </si>
  <si>
    <t>AOB Session #2 of 3</t>
  </si>
  <si>
    <t>All Girls STEM Society (AGSS)</t>
  </si>
  <si>
    <t>AOB Session #3 of 3</t>
  </si>
  <si>
    <t>AOB series | 09/2021-01/2022</t>
  </si>
  <si>
    <t>546-527</t>
  </si>
  <si>
    <t>August 19, 2021 | Designing Your Visibility Plan | A Career Map To Success</t>
  </si>
  <si>
    <t>Lifting While Climbing Summit 06/30/21 | Recognize Pinnacle Sponsorship 2021</t>
  </si>
  <si>
    <t>6 of 12</t>
  </si>
  <si>
    <t>3 of 8</t>
  </si>
  <si>
    <t>Tinuiti</t>
  </si>
  <si>
    <t>Travere</t>
  </si>
  <si>
    <t>08/01/21-07/31/22</t>
  </si>
  <si>
    <t>Chroma Code</t>
  </si>
  <si>
    <t>546-531</t>
  </si>
  <si>
    <t>546-534</t>
  </si>
  <si>
    <t>546-535</t>
  </si>
  <si>
    <t>546-533</t>
  </si>
  <si>
    <t>05.03 removed - ghosted</t>
  </si>
  <si>
    <t>10.27.20</t>
  </si>
  <si>
    <t>07/18 converte to corp sponsorship | 10/7 Renewed as an event sponsor.</t>
  </si>
  <si>
    <t>Athena Academy #2 Cohort 3</t>
  </si>
  <si>
    <t>Sig Series/Visability Plan</t>
  </si>
  <si>
    <t>We Can Rise, aTyr (TBD)</t>
  </si>
  <si>
    <t>Athena Academy #3 Cohort 3</t>
  </si>
  <si>
    <t xml:space="preserve">Male Allyship </t>
  </si>
  <si>
    <t>Teradata and Tinuiti</t>
  </si>
  <si>
    <t>Athena Academy #4 Cohort 3</t>
  </si>
  <si>
    <t xml:space="preserve">8.25.21 | Opting In:  Becoming A Male Ally In The </t>
  </si>
  <si>
    <t>546-532</t>
  </si>
  <si>
    <t>7 of 12</t>
  </si>
  <si>
    <t>4 of 8</t>
  </si>
  <si>
    <t xml:space="preserve">Date Removed </t>
  </si>
  <si>
    <t>ChromaCode</t>
  </si>
  <si>
    <t>Fisher &amp; Phillips LLP</t>
  </si>
  <si>
    <t>Athena Academy - Workshop 1</t>
  </si>
  <si>
    <t>Ticket Sales</t>
  </si>
  <si>
    <t>HR Workshop</t>
  </si>
  <si>
    <t>WSGR</t>
  </si>
  <si>
    <t>ASIG Mentorfest</t>
  </si>
  <si>
    <t>MOFO</t>
  </si>
  <si>
    <t>Athena Academy- Workshop 2</t>
  </si>
  <si>
    <t>Athena Academy- Workshop 3</t>
  </si>
  <si>
    <t>Athena AOB 8</t>
  </si>
  <si>
    <t>Athena Academy- Workshop 4- Final</t>
  </si>
  <si>
    <t>Diversity in Clincal Trials</t>
  </si>
  <si>
    <t>8 of 12</t>
  </si>
  <si>
    <t>5 of 8</t>
  </si>
  <si>
    <t>03/01/21-02/28/22</t>
  </si>
  <si>
    <t>Turning Point</t>
  </si>
  <si>
    <t>546-538</t>
  </si>
  <si>
    <t>546-537</t>
  </si>
  <si>
    <t>Ilana-Cooley: Check will likely arrive mid-January (vs January 4)</t>
  </si>
  <si>
    <t>9.21 HS Loss</t>
  </si>
  <si>
    <t>08.31 removed - MIA</t>
  </si>
  <si>
    <t>TSIG - Cryptocurrency</t>
  </si>
  <si>
    <t>AOB Alumni Networking</t>
  </si>
  <si>
    <t>Athena AOB 8, workshop #2</t>
  </si>
  <si>
    <t>2022 TBD</t>
  </si>
  <si>
    <t>546-539</t>
  </si>
  <si>
    <t>Athena On Boards | Date TBD 2022</t>
  </si>
  <si>
    <t>AIML</t>
  </si>
  <si>
    <t>Male Allyship</t>
  </si>
  <si>
    <t>1 of 3</t>
  </si>
  <si>
    <t>2 of 3</t>
  </si>
  <si>
    <t>3 of 3</t>
  </si>
  <si>
    <t>9 of 12</t>
  </si>
  <si>
    <t>6 of 8</t>
  </si>
  <si>
    <t>DD Instructed to recognize $3.5k for Aug | No rev rec - included in 9/11/20 invoice</t>
  </si>
  <si>
    <t>546-543</t>
  </si>
  <si>
    <t>Cue</t>
  </si>
  <si>
    <t>546-541</t>
  </si>
  <si>
    <t>Leveling Up</t>
  </si>
  <si>
    <t>11/16/21 | Clinical Trial Diversity | Closing The Gap To Achieve Health Equity</t>
  </si>
  <si>
    <t>546-540</t>
  </si>
  <si>
    <t>10 of 12</t>
  </si>
  <si>
    <t>7 of 8</t>
  </si>
  <si>
    <t>Tyra</t>
  </si>
  <si>
    <t>November 2021</t>
  </si>
  <si>
    <t>Q1 2022</t>
  </si>
  <si>
    <t>Athena Event Affiliate 2022</t>
  </si>
  <si>
    <t>546-542</t>
  </si>
  <si>
    <t>This one is a customized series of 3 programs (no corporate partnership).  We recognize the full $10K when we launch the first program, which we’re planning to hold in February of 2022. The tentative schedule for the other two programs = May 2022 and October 2022</t>
  </si>
  <si>
    <t xml:space="preserve">            25100 Deferred LWC Sponsorships</t>
  </si>
  <si>
    <t xml:space="preserve">               25320 Deferred Ticket Sales - Non LWC</t>
  </si>
  <si>
    <t xml:space="preserve">               25310 Deferred Ticket Sales - LWC</t>
  </si>
  <si>
    <t xml:space="preserve">         42100 Ticket Sales - LWC</t>
  </si>
  <si>
    <t xml:space="preserve">         42200 Ticket Sales - Non LWC</t>
  </si>
  <si>
    <t xml:space="preserve">         43100 Event Sponsorship - LWC</t>
  </si>
  <si>
    <t xml:space="preserve">         43200 Event Sponsorship - Non LWC</t>
  </si>
  <si>
    <t>PNC</t>
  </si>
  <si>
    <t>Burns and McDonnell</t>
  </si>
  <si>
    <t>Jones Lang Lasalle</t>
  </si>
  <si>
    <t>546-550</t>
  </si>
  <si>
    <t>546-548</t>
  </si>
  <si>
    <t>546-546</t>
  </si>
  <si>
    <t>Cue Health</t>
  </si>
  <si>
    <t>546-544</t>
  </si>
  <si>
    <t>546-547</t>
  </si>
  <si>
    <t>11.09 Event Sponsor Only</t>
  </si>
  <si>
    <t>11.30 Event Sponsor Only</t>
  </si>
  <si>
    <t>11.30 removed - No budget</t>
  </si>
  <si>
    <t>Tyra Biosciences</t>
  </si>
  <si>
    <t>Impostor Syndrome</t>
  </si>
  <si>
    <t>Neogenomics</t>
  </si>
  <si>
    <t>Tinuiti, Illumina</t>
  </si>
  <si>
    <t>Tinuiti recognized 2021</t>
  </si>
  <si>
    <t>Unconscious Bias</t>
  </si>
  <si>
    <t>Biomed, Illumina</t>
  </si>
  <si>
    <t>546-545</t>
  </si>
  <si>
    <t>546-549</t>
  </si>
  <si>
    <t>11 of 12</t>
  </si>
  <si>
    <t>8 of 8</t>
  </si>
  <si>
    <t>546-552</t>
  </si>
  <si>
    <t>546-553</t>
  </si>
  <si>
    <t>December 2021</t>
  </si>
  <si>
    <t>12.07 removed - MIA</t>
  </si>
  <si>
    <t>$17,925 (15 Tickets)</t>
  </si>
  <si>
    <t>Holiday Party</t>
  </si>
  <si>
    <t>Digital Sponsorship | Blueprint for Success</t>
  </si>
  <si>
    <t>546-551</t>
  </si>
  <si>
    <t>25100 Deferred LWC Sponsorships</t>
  </si>
  <si>
    <t>2022 Lifting While Climbing Summit</t>
  </si>
  <si>
    <t>Jones Lang LaSalle</t>
  </si>
  <si>
    <t>Event</t>
  </si>
  <si>
    <t>Athena AOB 9, Workshop 1</t>
  </si>
  <si>
    <t>Athena AOB 9, Workshop 2</t>
  </si>
  <si>
    <t>Q2 2022</t>
  </si>
  <si>
    <t>Athena AOB 9, Workshop 3</t>
  </si>
  <si>
    <t>Athena AOB 10, Workshop 1</t>
  </si>
  <si>
    <t>Athena AOB 10, Workshop 2</t>
  </si>
  <si>
    <t>Athena AOB 10, Workshop 3</t>
  </si>
  <si>
    <t>2022 Program TBD</t>
  </si>
  <si>
    <t>All Girls STEM Society (AGSS) &amp; Athena</t>
  </si>
  <si>
    <t>546-554</t>
  </si>
  <si>
    <t>546-555</t>
  </si>
  <si>
    <t>12 of 12</t>
  </si>
  <si>
    <t>2022 Acquisition</t>
  </si>
  <si>
    <t>2023 Accrual</t>
  </si>
  <si>
    <t>546-557</t>
  </si>
  <si>
    <t>546-556</t>
  </si>
  <si>
    <t>2022 Attrition</t>
  </si>
  <si>
    <t>2023 Losses</t>
  </si>
  <si>
    <t>AlphaSights</t>
  </si>
  <si>
    <t>01.11 Removed - MIA</t>
  </si>
  <si>
    <t>Total Corporate Sponsorship 2022</t>
  </si>
  <si>
    <t>12.14 KF/HS Athena Academy meeting in Jan</t>
  </si>
  <si>
    <t>06/01/21-05/31/22</t>
  </si>
  <si>
    <t>10/01/21-09/30/22</t>
  </si>
  <si>
    <t>12/01/21-11/30/22</t>
  </si>
  <si>
    <t>Moved to invoice date 01/03/22 | 01/01/22-12/31/22</t>
  </si>
  <si>
    <t>12.14 - Event Sponsor Only</t>
  </si>
  <si>
    <t>Boston Consulting Group</t>
  </si>
  <si>
    <t>546-563</t>
  </si>
  <si>
    <t>Turning Point Therapeutics</t>
  </si>
  <si>
    <t>546-558</t>
  </si>
  <si>
    <t>01/01/22 - 12/31/22</t>
  </si>
  <si>
    <t>546-568</t>
  </si>
  <si>
    <t>546-565</t>
  </si>
  <si>
    <t>546-559</t>
  </si>
  <si>
    <t>546-564</t>
  </si>
  <si>
    <t>546-562</t>
  </si>
  <si>
    <t>546-561</t>
  </si>
  <si>
    <t>546-570</t>
  </si>
  <si>
    <t>Vertex Pharma.</t>
  </si>
  <si>
    <t>Dermtech</t>
  </si>
  <si>
    <t>Brain Corp</t>
  </si>
  <si>
    <t>Noteworthy (Alessandra Wall)</t>
  </si>
  <si>
    <t>546-569</t>
  </si>
  <si>
    <t>Element Biosciences</t>
  </si>
  <si>
    <t>Q3 2022</t>
  </si>
  <si>
    <t>02.01 Removed</t>
  </si>
  <si>
    <t>02.15 Removed - MIA</t>
  </si>
  <si>
    <t>Distinguished Speaker Series - IWD</t>
  </si>
  <si>
    <t>TSIG - HERstory</t>
  </si>
  <si>
    <t>Athena AOB 8, Workshop 3</t>
  </si>
  <si>
    <t>ASIG - Great Shesession</t>
  </si>
  <si>
    <t>Distinguished Speaker Series - Dr. Susan</t>
  </si>
  <si>
    <t>TSIG - Female Retention</t>
  </si>
  <si>
    <t>Oracle</t>
  </si>
  <si>
    <t>(1) Event Sponsorship | Time &amp; Details TBD-</t>
  </si>
  <si>
    <t>2022 Lunch &amp; Learn Workshop | 45 mins</t>
  </si>
  <si>
    <t>546-560</t>
  </si>
  <si>
    <t>Annual ASIG MentorFest | Oct. 2022</t>
  </si>
  <si>
    <t>546-566</t>
  </si>
  <si>
    <t>546-567</t>
  </si>
  <si>
    <t>Athena's Women in STEM Workforce 2022 Index</t>
  </si>
  <si>
    <t>Distinguished Speaker Series | International Women's Day (IWD)/ Partnership Launch</t>
  </si>
  <si>
    <t xml:space="preserve">Herstory Hybrid Event - 3/24/22	</t>
  </si>
  <si>
    <t xml:space="preserve">02.01 KF </t>
  </si>
  <si>
    <t xml:space="preserve">         63925 Consultant</t>
  </si>
  <si>
    <t>Executive Summary</t>
  </si>
  <si>
    <t>05.18 Client deciding if they are renewing</t>
  </si>
  <si>
    <t>546-572</t>
  </si>
  <si>
    <t>546-571</t>
  </si>
  <si>
    <t>Sherlock Biosciences</t>
  </si>
  <si>
    <t>546-575</t>
  </si>
  <si>
    <t>Gate Science</t>
  </si>
  <si>
    <t>ViaCyte</t>
  </si>
  <si>
    <t>Aruba/HP</t>
  </si>
  <si>
    <t>Guardent Health</t>
  </si>
  <si>
    <t>05.03 Removed - MIA</t>
  </si>
  <si>
    <t>Hybrid event</t>
  </si>
  <si>
    <t>Ticket Sales $6,500 - Oracle, recognized 4/30/22</t>
  </si>
  <si>
    <t>Teradata Athena Academy, Workshop 1</t>
  </si>
  <si>
    <t>$15K invoiced.</t>
  </si>
  <si>
    <t>Oracle Athena Academy, Workshop 1</t>
  </si>
  <si>
    <t>Live event</t>
  </si>
  <si>
    <t>Teradata Athena Academy, Workshop 2</t>
  </si>
  <si>
    <t>Oracle Athena Academy, Workshop 2</t>
  </si>
  <si>
    <t>Sig Series - Courageous Conversations</t>
  </si>
  <si>
    <t>No sponsor - OK</t>
  </si>
  <si>
    <t>Teradata Athena Academy, Workshop 3</t>
  </si>
  <si>
    <t>Oracle Academy, Workshop 3</t>
  </si>
  <si>
    <t>Men's Questions Answered</t>
  </si>
  <si>
    <t>BD</t>
  </si>
  <si>
    <t>Oracle Academy, Workshop 4</t>
  </si>
  <si>
    <t>Comp</t>
  </si>
  <si>
    <t>$6,500 Ticket Sales - Oracle 546-567</t>
  </si>
  <si>
    <t>Women in STEM Index Report</t>
  </si>
  <si>
    <t>Hybrid</t>
  </si>
  <si>
    <t>LSIG #3 - Fall Wine Social</t>
  </si>
  <si>
    <t>Board donations, live event</t>
  </si>
  <si>
    <t>Athena Academy | Master Soft Skills for Women in STEM</t>
  </si>
  <si>
    <t>Becton Dickinson (BD)</t>
  </si>
  <si>
    <t>Male Allyship Event | June 23, 2022</t>
  </si>
  <si>
    <t>546-573</t>
  </si>
  <si>
    <t>Digital Sponsorship | 12 month newsletter</t>
  </si>
  <si>
    <t>546-574</t>
  </si>
  <si>
    <t>Recognize April 2022</t>
  </si>
  <si>
    <t>Event Sponsorship | Dr. Susan 4/28/22</t>
  </si>
  <si>
    <t>06.02 Not renewing per 06/01 email from Kate Scott</t>
  </si>
  <si>
    <t>06.07 HS.  Changed to CXO Q3 2022</t>
  </si>
  <si>
    <t>546-578</t>
  </si>
  <si>
    <t>546-579</t>
  </si>
  <si>
    <t>06.21 Removed</t>
  </si>
  <si>
    <t>Qualcomm Athena Academy, Cohort 1, Workshop 1</t>
  </si>
  <si>
    <t>Qualcomm Athena Academy, Cohort 1, Workshop 2</t>
  </si>
  <si>
    <t>Qualcomm Athena Academy, Cohort 1, Workshop 3</t>
  </si>
  <si>
    <t>Cooley ($3,500) &amp; JLL ($4,500)</t>
  </si>
  <si>
    <t>Qualcomm Athena Academy, Cohort 1, Workshop 4</t>
  </si>
  <si>
    <t>2022 CXO Forum Q4</t>
  </si>
  <si>
    <t>Total Deferred Event Sponsorship (Other Events)</t>
  </si>
  <si>
    <t>Two (2) Event Sponsorships - TSIG (1of2)</t>
  </si>
  <si>
    <t>06/21/22 - ADJ recorded 06/30/22</t>
  </si>
  <si>
    <t xml:space="preserve">      62800 Professional Development</t>
  </si>
  <si>
    <t xml:space="preserve">SIG - Build Your Personal Brand </t>
  </si>
  <si>
    <t>virtual</t>
  </si>
  <si>
    <t>2022 Totals</t>
  </si>
  <si>
    <t>2023 Totals</t>
  </si>
  <si>
    <t>Wine Social | Fall 10/6/22</t>
  </si>
  <si>
    <t xml:space="preserve">	CXO Forum | 8/25/22</t>
  </si>
  <si>
    <t>2022 CFO Forum (HS)</t>
  </si>
  <si>
    <t>CXO Forum 8/25/22</t>
  </si>
  <si>
    <t>2022 CFO Forum Sponsorship (HS)</t>
  </si>
  <si>
    <t>2022 CXO Forum Q4 2022</t>
  </si>
  <si>
    <t>Annual Fireside Chat | 9/21/22</t>
  </si>
  <si>
    <t>Athena On Boards | April 2022 - Event moved to August 2022</t>
  </si>
  <si>
    <t xml:space="preserve"> $6.5K to recognize as Ticket Sales on August month-end</t>
  </si>
  <si>
    <t>Wine Social | Summer 2023</t>
  </si>
  <si>
    <t>LWC Event Sponsorship 10/26/22</t>
  </si>
  <si>
    <t>546-581</t>
  </si>
  <si>
    <t>546-580</t>
  </si>
  <si>
    <t>546-582</t>
  </si>
  <si>
    <t>Teradata - Recognize in July 2022</t>
  </si>
  <si>
    <t>Bristol Myers Squibb</t>
  </si>
  <si>
    <t>546-583</t>
  </si>
  <si>
    <t xml:space="preserve">07.19 Removed </t>
  </si>
  <si>
    <t>07.26 Removed - MIA</t>
  </si>
  <si>
    <t>546-584</t>
  </si>
  <si>
    <t>Recognize in July 2022</t>
  </si>
  <si>
    <t>546-585</t>
  </si>
  <si>
    <t>Enlyte (prev Mitchell Int.)</t>
  </si>
  <si>
    <t>546-586</t>
  </si>
  <si>
    <t>08.30 Removed - No thanks.</t>
  </si>
  <si>
    <t>LSIG Fireside Chat with Tanya</t>
  </si>
  <si>
    <t>Male Allyship-What Strong Male Allies DO</t>
  </si>
  <si>
    <t>Intuit (1st owed event from below)</t>
  </si>
  <si>
    <t xml:space="preserve">      49500 Interest Income</t>
  </si>
  <si>
    <t>546-589</t>
  </si>
  <si>
    <t>Maravai Life Sciences</t>
  </si>
  <si>
    <t>546-592</t>
  </si>
  <si>
    <t>10/01/22 - 09/30/23</t>
  </si>
  <si>
    <t>06/01/22 - 05/31/23</t>
  </si>
  <si>
    <t>Q4 2022</t>
  </si>
  <si>
    <t>Moss Adams</t>
  </si>
  <si>
    <t>iRhythm</t>
  </si>
  <si>
    <t>Resilience</t>
  </si>
  <si>
    <t>546-591</t>
  </si>
  <si>
    <t>546-587</t>
  </si>
  <si>
    <t>546-590</t>
  </si>
  <si>
    <t>ChromaCode/Public</t>
  </si>
  <si>
    <t>DSS - Positively Triggered</t>
  </si>
  <si>
    <t>Hosted at Deloitte (Pilot)</t>
  </si>
  <si>
    <t>Q1 2023</t>
  </si>
  <si>
    <t xml:space="preserve">            10511 WFB Credit Card 6703 (was 6468)</t>
  </si>
  <si>
    <t>Better Up</t>
  </si>
  <si>
    <t>546-599</t>
  </si>
  <si>
    <t>546-597</t>
  </si>
  <si>
    <t>Leads Declined in 2022</t>
  </si>
  <si>
    <t>546-594</t>
  </si>
  <si>
    <t>10.18 HS Removed-Revisit 2023</t>
  </si>
  <si>
    <t>ChromaCode Athena Academy  Session 1</t>
  </si>
  <si>
    <t>ChromaCode/Aran Nebula/Public</t>
  </si>
  <si>
    <t>Record Wix tickets to Event Sponsorship Revenue ($5225 (5@$495, 5@550))</t>
  </si>
  <si>
    <t>ChromaCode Athena Academy  Session 2</t>
  </si>
  <si>
    <t>ChromaCode Athena Academy  Session 3</t>
  </si>
  <si>
    <t>SIG SERIES - Cure Found for “She’s Not Strategic” Syndrome!</t>
  </si>
  <si>
    <t>ChromaCode Athena Academy  Session 4</t>
  </si>
  <si>
    <t>TSIG -  Keeping An “AI” On Fintech | The Future of Financial Services | Powered by Intuit</t>
  </si>
  <si>
    <t>Event Sponsorship TBD</t>
  </si>
  <si>
    <t>Event Sponsorship | 2022 CXO Forum Q4 2022 (change to LWC)</t>
  </si>
  <si>
    <t>Moved to LWC</t>
  </si>
  <si>
    <t>546-595</t>
  </si>
  <si>
    <t>LWC Virtual Tickets </t>
  </si>
  <si>
    <t>546-600</t>
  </si>
  <si>
    <t>LWC Recognized Revenue</t>
  </si>
  <si>
    <t>Aran Nebula Foundation</t>
  </si>
  <si>
    <t>549-596</t>
  </si>
  <si>
    <t>Nordson Corp</t>
  </si>
  <si>
    <t>WD-40</t>
  </si>
  <si>
    <t xml:space="preserve">   43400 Direct Public Support</t>
  </si>
  <si>
    <t xml:space="preserve">      43420 BOD Donations</t>
  </si>
  <si>
    <t xml:space="preserve">   Total 43400 Direct Public Support</t>
  </si>
  <si>
    <t>546-606</t>
  </si>
  <si>
    <t>11/01/22 - 10/31/23</t>
  </si>
  <si>
    <t>11.29 HS - Sent email.</t>
  </si>
  <si>
    <t>11.29 HS - HS to meet w/ Amy 12/20/22.</t>
  </si>
  <si>
    <t>11.29 HS (Mara) No update</t>
  </si>
  <si>
    <t>BioNano Genomics</t>
  </si>
  <si>
    <t>Argenx</t>
  </si>
  <si>
    <t>546-604</t>
  </si>
  <si>
    <t>546-601</t>
  </si>
  <si>
    <t>11.29 NOT RENEWING</t>
  </si>
  <si>
    <t>BMS-$3,500 event sponsorship/Cooley (host)</t>
  </si>
  <si>
    <t xml:space="preserve"> CXO Forum Dinner</t>
  </si>
  <si>
    <t xml:space="preserve"> AOB Cohort 11, Workshop 1</t>
  </si>
  <si>
    <t xml:space="preserve"> Athena Academy, Cohort 1, Session 1</t>
  </si>
  <si>
    <t xml:space="preserve"> Athena Academy, Cohort 1, Session 2</t>
  </si>
  <si>
    <t xml:space="preserve"> Athena Academy, Cohort 2, Session 1 </t>
  </si>
  <si>
    <t xml:space="preserve"> Sig Series Program </t>
  </si>
  <si>
    <t xml:space="preserve"> AOB Cohort 11, Workshop 2</t>
  </si>
  <si>
    <t xml:space="preserve"> FEW Spring Orientation</t>
  </si>
  <si>
    <t xml:space="preserve"> Athena Academy, Cohort 1, Session 3</t>
  </si>
  <si>
    <t xml:space="preserve"> Athena Academy, Cohort 2, Session 2</t>
  </si>
  <si>
    <t xml:space="preserve"> Athena Academy, Cohort 1, Session 4</t>
  </si>
  <si>
    <t xml:space="preserve"> Athena Academy, Cohort 2, Session 3</t>
  </si>
  <si>
    <t xml:space="preserve"> AOB Cohort 11, Workshop 3</t>
  </si>
  <si>
    <t xml:space="preserve"> AOB Cohort 12, Workshop 1 </t>
  </si>
  <si>
    <t xml:space="preserve"> Athena Academy, Cohort 2, Session 4</t>
  </si>
  <si>
    <t xml:space="preserve"> AOB Cohort 12, Workshop 2</t>
  </si>
  <si>
    <t xml:space="preserve"> AOB Cohort 12, Workshop 3</t>
  </si>
  <si>
    <t xml:space="preserve"> Lifting While Climbing Summit</t>
  </si>
  <si>
    <t xml:space="preserve"> FEW Fall Orientation </t>
  </si>
  <si>
    <t xml:space="preserve"> Holiday Reception </t>
  </si>
  <si>
    <t>Athena's Annual Jobs Board</t>
  </si>
  <si>
    <t>546-603</t>
  </si>
  <si>
    <t>BOD Donation</t>
  </si>
  <si>
    <t>546-620</t>
  </si>
  <si>
    <t>2023 Acquisition</t>
  </si>
  <si>
    <t>2024 Accrual</t>
  </si>
  <si>
    <t>546-618</t>
  </si>
  <si>
    <t>2023 Attrition</t>
  </si>
  <si>
    <t>2024 Losses</t>
  </si>
  <si>
    <t>Accuragen</t>
  </si>
  <si>
    <t>10.25 HS (Contact - George, Timing not right. "Keep bugging."</t>
  </si>
  <si>
    <t>Arcturus</t>
  </si>
  <si>
    <t>Entos Pharma</t>
  </si>
  <si>
    <t>11.29 HS - Sent prospectus 11.28</t>
  </si>
  <si>
    <t>Glaukos</t>
  </si>
  <si>
    <t>Equip Health</t>
  </si>
  <si>
    <t>Mthly Avg</t>
  </si>
  <si>
    <t>01/01/23 - 12/31/23</t>
  </si>
  <si>
    <t>Move to Q1 2023?</t>
  </si>
  <si>
    <t>12.06 HS trying to get on calendar.</t>
  </si>
  <si>
    <t>546-613</t>
  </si>
  <si>
    <t>546-621</t>
  </si>
  <si>
    <t>12.20 - HS trying to upsell.</t>
  </si>
  <si>
    <t>01.03.2023 HS - IND Membership</t>
  </si>
  <si>
    <t xml:space="preserve">      63830 Digital Communications</t>
  </si>
  <si>
    <t>Holiday Reception</t>
  </si>
  <si>
    <t xml:space="preserve">2023 -                              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</si>
  <si>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</si>
  <si>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</si>
  <si>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</si>
  <si>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</si>
  <si>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</si>
  <si>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</si>
  <si>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</si>
  <si>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</si>
  <si>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</si>
  <si>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</si>
  <si>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</si>
  <si>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</si>
  <si>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Athena</t>
  </si>
  <si>
    <t>Arcturus Therapeutics</t>
  </si>
  <si>
    <t>Athena 25</t>
  </si>
  <si>
    <t>546-630</t>
  </si>
  <si>
    <t>546-628</t>
  </si>
  <si>
    <t>02/01/23 - 01/31/24</t>
  </si>
  <si>
    <t>546-629</t>
  </si>
  <si>
    <t>546-636</t>
  </si>
  <si>
    <t>546-635</t>
  </si>
  <si>
    <t>546-633</t>
  </si>
  <si>
    <t>546-627</t>
  </si>
  <si>
    <t>546-634</t>
  </si>
  <si>
    <t>Avenzo Therapeutics</t>
  </si>
  <si>
    <t>01.31 HS - Taking old TPT CEO to lunch</t>
  </si>
  <si>
    <t>Wells Fargo-Sara H.</t>
  </si>
  <si>
    <t>ThermoFisher-Gina W. referred</t>
  </si>
  <si>
    <t>Better Up - Jill</t>
  </si>
  <si>
    <t>Q2 2023</t>
  </si>
  <si>
    <t>546-632</t>
  </si>
  <si>
    <t>11.29 NOT RENEWING. 01.24.23 RENEWING!!</t>
  </si>
  <si>
    <t xml:space="preserve"> New Year's Resolution - Avoid Burnout &amp; Design Your Career Pivot</t>
  </si>
  <si>
    <t>$3,500 DLA</t>
  </si>
  <si>
    <t>ASIG &amp; Male Allyship #EmbraceEquity Mentor Fest</t>
  </si>
  <si>
    <t>Cue Health ($2,500 Rev Rec)</t>
  </si>
  <si>
    <t xml:space="preserve"> LSIG Women's Healthcare | Exploring the Impacts of the Dobbs Decision </t>
  </si>
  <si>
    <t>Morrison Foerster</t>
  </si>
  <si>
    <t xml:space="preserve"> TSIG Program - Reducing Stress and Anxiety | Harness the Power of Mindfulness Techniques</t>
  </si>
  <si>
    <t>Sig Series | How to Master Relationship Building in a Hybrid Workplace</t>
  </si>
  <si>
    <t>Activating &amp; Scaling More Men as Allies | Role-Playing Workshop</t>
  </si>
  <si>
    <t xml:space="preserve">Summer Wine Social </t>
  </si>
  <si>
    <t>LIVE</t>
  </si>
  <si>
    <t>2023 CFO Forum Sponsorship</t>
  </si>
  <si>
    <t>(1) Event Sponsorship on 3/14/23 | "Women's Healthcare: Exploring the Impacts of the Dobbs Decision"</t>
  </si>
  <si>
    <t>(1) Event Sponsorship | 02/22/2023 AoB Series</t>
  </si>
  <si>
    <t>Athena25 - LWC Summit Founding Member</t>
  </si>
  <si>
    <t>546-631</t>
  </si>
  <si>
    <t>Athena25 - LWC Summit &amp; Athena25 Sponsor</t>
  </si>
  <si>
    <t>Digital Sponsorship of B4S product</t>
  </si>
  <si>
    <t>Athena25 - Digital Partner</t>
  </si>
  <si>
    <t>TOTAL 25450 Deferred Digital Sponsorship</t>
  </si>
  <si>
    <t>546-637</t>
  </si>
  <si>
    <t>03.14 HS - Considering $25K elite!!!</t>
  </si>
  <si>
    <t>Roche</t>
  </si>
  <si>
    <t>Accutis</t>
  </si>
  <si>
    <t>NV5</t>
  </si>
  <si>
    <t>Eli Lilly</t>
  </si>
  <si>
    <t>Genentech</t>
  </si>
  <si>
    <t>02.28 HS "wants access"</t>
  </si>
  <si>
    <t>Live</t>
  </si>
  <si>
    <t>FULL VIRTUAL!</t>
  </si>
  <si>
    <t>Athena25 - Digital Sponsor</t>
  </si>
  <si>
    <t xml:space="preserve">         10090 Wells Fargo - CD | Time Account</t>
  </si>
  <si>
    <t xml:space="preserve">            10540 WFB Credit Card 5519</t>
  </si>
  <si>
    <t>546-641</t>
  </si>
  <si>
    <t>05/01/23 - 04/30/24</t>
  </si>
  <si>
    <t>546-642</t>
  </si>
  <si>
    <t>546-640</t>
  </si>
  <si>
    <t>Illumina - 2022 loss, never renewed</t>
  </si>
  <si>
    <t>Travere - 2022 loss, never renewed</t>
  </si>
  <si>
    <t>Q3 2023</t>
  </si>
  <si>
    <t>07/01/22 - 06/30/23</t>
  </si>
  <si>
    <t>03.21 WM Remove</t>
  </si>
  <si>
    <t xml:space="preserve">PNC ($5,000) &amp; DLA ($5,000) </t>
  </si>
  <si>
    <t>546-638</t>
  </si>
  <si>
    <t>Intuit.</t>
  </si>
  <si>
    <t>Athena 25 Revenue</t>
  </si>
  <si>
    <t>Takeda California</t>
  </si>
  <si>
    <t xml:space="preserve">546-579 </t>
  </si>
  <si>
    <t>Travere Therapeutics, Inc.</t>
  </si>
  <si>
    <t>546-645</t>
  </si>
  <si>
    <t>Turning Point - Acquired by BMS</t>
  </si>
  <si>
    <t>03/01/23 - 02/28/24</t>
  </si>
  <si>
    <t>NO SPONSOR</t>
  </si>
  <si>
    <t>Confront, Counter &amp; Overcome Imposter Syndrome</t>
  </si>
  <si>
    <t>No sponsor (never has, planning meeting)</t>
  </si>
  <si>
    <t>Public</t>
  </si>
  <si>
    <t xml:space="preserve">TSIG  - Elevate your Executive Presence &amp; Lead with Confidence </t>
  </si>
  <si>
    <t>Foster Workplace Belonging &amp; Take DEI to the Next Level</t>
  </si>
  <si>
    <t xml:space="preserve">Sig Series | Defuse Emotionally Charged Conversations &amp; Drive Impact </t>
  </si>
  <si>
    <t xml:space="preserve"> LSIG | Fireside Chat</t>
  </si>
  <si>
    <t>(with LWC) BCG</t>
  </si>
  <si>
    <t>LSIG | Innovative Program</t>
  </si>
  <si>
    <t>TSIG | AI/ML Program</t>
  </si>
  <si>
    <t>546-644</t>
  </si>
  <si>
    <t>Revenue recognized in full on March 2023</t>
  </si>
  <si>
    <t xml:space="preserve">      16400 Accumulated Depreciation</t>
  </si>
  <si>
    <t xml:space="preserve">      15500 Furniture &amp; Fixtures</t>
  </si>
  <si>
    <t>Noteworthy Inc. (Alessandra Wall)</t>
  </si>
  <si>
    <t>546-646</t>
  </si>
  <si>
    <t>04/15/23 - 04/14/24</t>
  </si>
  <si>
    <t>04.18 HS - Reached out. Contact: Alicia</t>
  </si>
  <si>
    <t>04.18 HS emailed to meet. Contact - Michael Farrington, Chief HR</t>
  </si>
  <si>
    <t>04.18 HS Emailed. Contact - Jibreal</t>
  </si>
  <si>
    <t>Per HS, clients need more lead time to renew.</t>
  </si>
  <si>
    <t>DLA Piper (recognized in Feb 2023)</t>
  </si>
  <si>
    <t>BioMed Realty ($3,500), Salk (host/F&amp;B) and Maravai ($3,500)</t>
  </si>
  <si>
    <t>546-572 | 546-592</t>
  </si>
  <si>
    <t>Mastering LinkedIn for a Strong Social Footprint</t>
  </si>
  <si>
    <t xml:space="preserve"> TSIG | Sponsorship vs. Mentorship Program</t>
  </si>
  <si>
    <t>Interest Income</t>
  </si>
  <si>
    <t xml:space="preserve"> CFO Forum Dinner</t>
  </si>
  <si>
    <t>Event Date</t>
  </si>
  <si>
    <t>Summer Wine Social</t>
  </si>
  <si>
    <t>Q3 2023 | "Life Sciences Fireside Chat"</t>
  </si>
  <si>
    <t>Master Relationship Building in a Hybrid Workplace</t>
  </si>
  <si>
    <t>CFO Forum Sponsorship | Q4 2023</t>
  </si>
  <si>
    <t>546-648</t>
  </si>
  <si>
    <t>Athena25 - LWC Wine Sponsor &amp; Athena25 Sponsor</t>
  </si>
  <si>
    <t xml:space="preserve">Elevate your Executive Presence </t>
  </si>
  <si>
    <t>Fostering Belonging</t>
  </si>
  <si>
    <t>546-647</t>
  </si>
  <si>
    <t>Revenue recognized in full on May 2023</t>
  </si>
  <si>
    <t>VMWare</t>
  </si>
  <si>
    <t>Match Group</t>
  </si>
  <si>
    <t>Sayva Solutions</t>
  </si>
  <si>
    <t>Rampart Biosciences</t>
  </si>
  <si>
    <t xml:space="preserve">      62210 401K Match</t>
  </si>
  <si>
    <t>Enlyte</t>
  </si>
  <si>
    <t>546-649 | 546-586</t>
  </si>
  <si>
    <t>546-649</t>
  </si>
  <si>
    <t>City National Bank</t>
  </si>
  <si>
    <t>Perkins Coie</t>
  </si>
  <si>
    <t>Comerica</t>
  </si>
  <si>
    <t>McDermott &amp; Bull</t>
  </si>
  <si>
    <t>02.28 HS - To follow up.  Met w/ Celeste 2/10/23.</t>
  </si>
  <si>
    <t>06.06 HS - Had coffee w/ Samantha. Replaced by Erin Zlotnick.  04.18 HS - Emailed.  Contact: Samantha Bishop.  Laid off 5/8/23.</t>
  </si>
  <si>
    <t>06.13 HS- Reached out 4x.  One more then remove. Contact: Dana Lombardi</t>
  </si>
  <si>
    <t>06.13 HS - Reach out one more time. Contact: Alicia.  Acquired Genmark Diagnostics</t>
  </si>
  <si>
    <t>06.13 HS - No response. Resent proposal.  Contact: Lisa Kay</t>
  </si>
  <si>
    <t>06.13 HS Reached out. 01.23 HS Jason interested.  Have proposals.</t>
  </si>
  <si>
    <t>06.13 HS - No response.  Contact - Kira</t>
  </si>
  <si>
    <t>06.27 HS - Reached out to Minh.  All men board and leadership.  25 FTE's.   Board introduction (Leslie Nagle).</t>
  </si>
  <si>
    <t>546-651</t>
  </si>
  <si>
    <t>07/01/23 - 06/30/24</t>
  </si>
  <si>
    <t>Intuit 2nd event invoice 546-590</t>
  </si>
  <si>
    <t>PNC Bank &amp; DLA</t>
  </si>
  <si>
    <t>546-545 &amp; 546-636</t>
  </si>
  <si>
    <t xml:space="preserve"> Athena Academy, Cohort 2, Session 5</t>
  </si>
  <si>
    <t xml:space="preserve">2024 -                              </t>
  </si>
  <si>
    <t>Two (2) Event Sponsorships - TSIG (2 of 2)</t>
  </si>
  <si>
    <t>TBD.  All Girls STEM Society (AGSS) Workshop</t>
  </si>
  <si>
    <t>Event Sponsorship - TSIG (1/2)</t>
  </si>
  <si>
    <t>Wine Social - 2024 (per invoice)</t>
  </si>
  <si>
    <t>546-650</t>
  </si>
  <si>
    <t>Event Sponsorship - TSIG (2/2)  OWED EVENT.  Absorb/recognize??  Intuit not aware.</t>
  </si>
  <si>
    <t>2022 LWC</t>
  </si>
  <si>
    <t>546-651 | 546-578</t>
  </si>
  <si>
    <t>EYAM Health (eeyum)</t>
  </si>
  <si>
    <t xml:space="preserve"> AOB Alum Networking Event - Governor Program</t>
  </si>
  <si>
    <t>Providence Bio and HomeLab (location only - no sponsor).  $50M federal grant invitation. Holly submitting letter by 7/27/23.</t>
  </si>
  <si>
    <t>What's In It For You?</t>
  </si>
  <si>
    <t xml:space="preserve">aTyr </t>
  </si>
  <si>
    <t xml:space="preserve">DLA Piper - will not be invoicing.  </t>
  </si>
  <si>
    <t>LWC</t>
  </si>
  <si>
    <t>Gala Sponsor Package</t>
  </si>
  <si>
    <t>546-652</t>
  </si>
  <si>
    <t>Gala Host Package</t>
  </si>
  <si>
    <t>546-653</t>
  </si>
  <si>
    <t>Athena25 - LWC Gala Host Package (Music Sponsor)</t>
  </si>
  <si>
    <t>Christina Auten</t>
  </si>
  <si>
    <t>546-654</t>
  </si>
  <si>
    <t xml:space="preserve">            24050 Retirement Contribution Payable</t>
  </si>
  <si>
    <t>Quartus</t>
  </si>
  <si>
    <t>Morpheous</t>
  </si>
  <si>
    <t>546-661</t>
  </si>
  <si>
    <t>546-659 | 546-589</t>
  </si>
  <si>
    <t>546-655 | 546-597</t>
  </si>
  <si>
    <t>546-662 | 546-587</t>
  </si>
  <si>
    <t>546-656 | 546-584</t>
  </si>
  <si>
    <t>08/01/23 - 07/31/24</t>
  </si>
  <si>
    <t>546-656</t>
  </si>
  <si>
    <t>546-659</t>
  </si>
  <si>
    <t>546-655</t>
  </si>
  <si>
    <t>546-662</t>
  </si>
  <si>
    <t>08.15 HS - Checking w/ Budget team for 2024.  Sent proposal 7/28.  Contact: Maggie (San Diego) Laura Dodd (SVP-L.A.)</t>
  </si>
  <si>
    <t>Brain Corp (EVENT)</t>
  </si>
  <si>
    <t>JP Morgan (EVENT)</t>
  </si>
  <si>
    <t xml:space="preserve">08.01 HS - No reponse from Brandon.  </t>
  </si>
  <si>
    <t>Chroma Code (move to loss)</t>
  </si>
  <si>
    <t>08.30 HS - Move to loss.  Brett.  No response from Brett, Megan and Kristen.</t>
  </si>
  <si>
    <t xml:space="preserve">08.30 WM - LOSS.  Barter arrangement. </t>
  </si>
  <si>
    <t>03.21 WM Acquired by BMS.</t>
  </si>
  <si>
    <t>03.21 WM REMOVE.  Per HS, 2022 attrition.</t>
  </si>
  <si>
    <t>Public. 08.08 - SH - 13 registered</t>
  </si>
  <si>
    <t xml:space="preserve">Qualcomm </t>
  </si>
  <si>
    <t xml:space="preserve"> ASIG Program  - Oktoberfest/Mentorfest</t>
  </si>
  <si>
    <t>(1) Event Sponsorship</t>
  </si>
  <si>
    <t>(1) Event Sponsorship TBD</t>
  </si>
  <si>
    <t>546-663</t>
  </si>
  <si>
    <t>Perkins Coie LLP</t>
  </si>
  <si>
    <t>(1) Event Sponsorship | LSIG Q4 Program | Re-engineering Your Career Pathways in Life Sciences</t>
  </si>
  <si>
    <t>546-660</t>
  </si>
  <si>
    <t>Individual Sponsorship | Lifting While Climbing Summit | 2023 Get/Give credit</t>
  </si>
  <si>
    <t>LWC Platinum Package</t>
  </si>
  <si>
    <t>546-658</t>
  </si>
  <si>
    <t>RippleNami</t>
  </si>
  <si>
    <t>546-657</t>
  </si>
  <si>
    <t>Lockton</t>
  </si>
  <si>
    <t>546-664</t>
  </si>
  <si>
    <t>Variance</t>
  </si>
  <si>
    <t>YTD Estimated Actuals</t>
  </si>
  <si>
    <t>2023 Budget Totals</t>
  </si>
  <si>
    <t>Estimated Actuals</t>
  </si>
  <si>
    <t>2023 YE Projection</t>
  </si>
  <si>
    <t>Stephanie Siedman/Womble Bond Dickinson</t>
  </si>
  <si>
    <t>546-666</t>
  </si>
  <si>
    <t>546-665 | 546-594</t>
  </si>
  <si>
    <t>Renewal Company - Responsible</t>
  </si>
  <si>
    <t>Oracle - HS</t>
  </si>
  <si>
    <t>Qualcomm - HS</t>
  </si>
  <si>
    <t>Heron Therapeutics - HS</t>
  </si>
  <si>
    <t>Jones Lang LaSalle - TE</t>
  </si>
  <si>
    <t>Fisher Phillips - TE</t>
  </si>
  <si>
    <t>DLA Piper - HS</t>
  </si>
  <si>
    <t>Womble Bond Dickinson</t>
  </si>
  <si>
    <t>Ernst &amp; Young - TE</t>
  </si>
  <si>
    <t>Arcturus - HS</t>
  </si>
  <si>
    <t>Mirati Therapeutics - TE</t>
  </si>
  <si>
    <t>Morrison &amp; Foerster - TE</t>
  </si>
  <si>
    <t>ResMed - HS</t>
  </si>
  <si>
    <t>Boston Consulting Group - HS</t>
  </si>
  <si>
    <t>BioMed Realty - TE</t>
  </si>
  <si>
    <t>Fragomen -TE</t>
  </si>
  <si>
    <t>Noteworthy (Alessandra Wall) - HS</t>
  </si>
  <si>
    <t>Travere - HS</t>
  </si>
  <si>
    <t>Moss Adams - TE</t>
  </si>
  <si>
    <t>BDO USA - TE</t>
  </si>
  <si>
    <t>aTyr - HS</t>
  </si>
  <si>
    <t>Enlyte (prev Mitchell Int.) - HS</t>
  </si>
  <si>
    <t>Becton Dickinson - TE</t>
  </si>
  <si>
    <t>PwC - TE</t>
  </si>
  <si>
    <t>Academy of Our Lady Peace - TE</t>
  </si>
  <si>
    <t>Dentons/Womble Bond Dickinson - HS</t>
  </si>
  <si>
    <t>Bristol Myers Squibb (acquired Turning Point) - HS</t>
  </si>
  <si>
    <t>Cooley LLP - TE</t>
  </si>
  <si>
    <t>Correlation Ventures - TE</t>
  </si>
  <si>
    <t>Intuit - HS</t>
  </si>
  <si>
    <t>Takeda Pharma - HS</t>
  </si>
  <si>
    <t>546-665</t>
  </si>
  <si>
    <t>Maravai Life Sciences - HS</t>
  </si>
  <si>
    <t>SDG&amp;E (Sempra) - HS</t>
  </si>
  <si>
    <t>09.19 HS - Last reach out.   Reached out to Rachna.  Contact: Rachna-Global Head Women's Group(?)  Broadcom trying to acquire.</t>
  </si>
  <si>
    <t>Nordson -TE</t>
  </si>
  <si>
    <t>Pfizer - TE</t>
  </si>
  <si>
    <t>Cue Health - TE</t>
  </si>
  <si>
    <t>Two Bear Capital - HS</t>
  </si>
  <si>
    <t>Tyra - HS</t>
  </si>
  <si>
    <t>WD-40 - HS</t>
  </si>
  <si>
    <t>HS = 20, TE = 17 (AOLP-2023 attrition list)</t>
  </si>
  <si>
    <t>Q4 2023</t>
  </si>
  <si>
    <t>EDF Renewables</t>
  </si>
  <si>
    <t>ViaSat</t>
  </si>
  <si>
    <t>09.19 Gone dark. HS - Last time.  Reached out Dr. Jennie Lill.  Contact: Gail Lewis.  Reviewing proposal.  Met w/ 7/25/23.  Quita on LinkedIn. $25K LWC $? Sent over prospectus and LWC. Contact Dr. Jennie Lill</t>
  </si>
  <si>
    <t xml:space="preserve">DLA Piper - will not be invoicing.    12 attendees! </t>
  </si>
  <si>
    <t>Comerica &amp; BD (F&amp;B Only)</t>
  </si>
  <si>
    <t>CORPORATE PARTNERS</t>
  </si>
  <si>
    <t>EVENT SPONSORS</t>
  </si>
  <si>
    <t>2023 Amount</t>
  </si>
  <si>
    <t>Event/Date</t>
  </si>
  <si>
    <t>Mentorfest - 10/12/23</t>
  </si>
  <si>
    <t>LSIG - 12/7/23</t>
  </si>
  <si>
    <t>MMA</t>
  </si>
  <si>
    <t>CFO Forum - 11/2/23</t>
  </si>
  <si>
    <t>Encore Capital</t>
  </si>
  <si>
    <t>LWC Gala - 10/26/23</t>
  </si>
  <si>
    <t>CXO Forum - 1/23 and 9/23.</t>
  </si>
  <si>
    <t>Unlikely to sponsor a 2024 event.</t>
  </si>
  <si>
    <t>546-668</t>
  </si>
  <si>
    <t xml:space="preserve">Target Acquisition Month </t>
  </si>
  <si>
    <t>Prospects</t>
  </si>
  <si>
    <t>warm</t>
  </si>
  <si>
    <t>hot</t>
  </si>
  <si>
    <t>SoundThinking</t>
  </si>
  <si>
    <t xml:space="preserve">McDermott &amp; Bull </t>
  </si>
  <si>
    <t>Q1 2024</t>
  </si>
  <si>
    <t>2023 Projected Total</t>
  </si>
  <si>
    <t>10.10 HS - Requesting invoice for joint event s'ship w/ DLA.  No '23 LWC, '24 LWC?  08.21 pitched Brooke Soly</t>
  </si>
  <si>
    <t>Two (2) Event Sponsorships | Q2 2024 | Athena's Annual AI/ML Series</t>
  </si>
  <si>
    <t xml:space="preserve">wilson </t>
  </si>
  <si>
    <t>546-667</t>
  </si>
  <si>
    <t>546-668 | 546-590</t>
  </si>
  <si>
    <t>546-672</t>
  </si>
  <si>
    <t>10.24 HS - Gone cold. F/u w/ Sorana. 12/5 Male Allyship program? Contact: Serena/VP HR,Lisa Muller.</t>
  </si>
  <si>
    <t xml:space="preserve">10.31 Cold.  HS did everything. 09.19 HS - Let sit.  08.30 Reached out to Ryan.  HS - Call w/ Ryan 6/22/23. LWC s'ship? Funding coming. June, 2023. </t>
  </si>
  <si>
    <t>546-677</t>
  </si>
  <si>
    <t>EY sponsor, MMA  24 registered</t>
  </si>
  <si>
    <t>546-648 &amp; 546-670</t>
  </si>
  <si>
    <t>STAFF | Athena's Annual Co-Chair Retreat</t>
  </si>
  <si>
    <t>Live or Virtual</t>
  </si>
  <si>
    <t>Sig Series | Discover Your Superpower &amp; Unique Strengths | Guest Speaker, Gemini Babla</t>
  </si>
  <si>
    <t>Male Ally | TBD</t>
  </si>
  <si>
    <t>TBD</t>
  </si>
  <si>
    <t>Intuit confirmed.</t>
  </si>
  <si>
    <t>Sig Series | Confidence to Ask: Elevate Your Presence &amp; Position for Success</t>
  </si>
  <si>
    <t>ASIG | Financial Intelligence Program</t>
  </si>
  <si>
    <t>TSIG | Showcasing the Value of Women-centric Tech Design</t>
  </si>
  <si>
    <t>Sig Series | Turning Intentions into Action</t>
  </si>
  <si>
    <t>LSIG | Fireside Chat</t>
  </si>
  <si>
    <t>September</t>
  </si>
  <si>
    <t>ASIG | Oktoberfest Mentorfest</t>
  </si>
  <si>
    <t>October</t>
  </si>
  <si>
    <t>STAFF | Athena's Lifting While Climbing Summit</t>
  </si>
  <si>
    <t>TSIG | Annual AI/ML Event</t>
  </si>
  <si>
    <t>November</t>
  </si>
  <si>
    <t>December</t>
  </si>
  <si>
    <t>STAFF | Members-Only Holiday Reception</t>
  </si>
  <si>
    <t>546-674</t>
  </si>
  <si>
    <t>Two (2) Event Sponsorships | Q1 2024 | HERstory in the Making</t>
  </si>
  <si>
    <t>(1) Event Sponsorship | 11/02/2023 - CFO Forum</t>
  </si>
  <si>
    <t>546-670</t>
  </si>
  <si>
    <t>Amazon Web Services</t>
  </si>
  <si>
    <t>546-679</t>
  </si>
  <si>
    <t>546-682 | 546-621</t>
  </si>
  <si>
    <t>546-677 | 546-604</t>
  </si>
  <si>
    <t>546-678 | 546-601</t>
  </si>
  <si>
    <t>2024 Acquisition</t>
  </si>
  <si>
    <t>2025 Accrual</t>
  </si>
  <si>
    <t>01/01/24 - 12/31/24</t>
  </si>
  <si>
    <t>546-683</t>
  </si>
  <si>
    <t>2024 Amount</t>
  </si>
  <si>
    <t>2024 Attrition</t>
  </si>
  <si>
    <t>2025 Losses</t>
  </si>
  <si>
    <t>AWS</t>
  </si>
  <si>
    <t>12/01/23 - 11/30/24</t>
  </si>
  <si>
    <t>11.07 WM sent invoice.</t>
  </si>
  <si>
    <t>546-682</t>
  </si>
  <si>
    <t>546-678</t>
  </si>
  <si>
    <t xml:space="preserve">2024 Leads - 2023 Leads Declined/Postponed </t>
  </si>
  <si>
    <t>11.14 Moved to 2024 leads | 11.06 HS -Per Chanda, hold off for time being. Reached out to Jaimie, Chanda &amp; Joelle. Intro from Jamie @ EY.</t>
  </si>
  <si>
    <t>11.14 Moved to 2024 leads |10.10 HS - Ongoing w/ Colleen. Will see 10/12.  Contact-Heather Gonzalez.  Considering p'ship. 8/30 mtg w/Susan Poser.</t>
  </si>
  <si>
    <t xml:space="preserve"> Athena Academy, Cohort 1, Session 5</t>
  </si>
  <si>
    <t>All Girls STEM Society (AGSS) Workshop</t>
  </si>
  <si>
    <t>MA | TBD Male Ally Program - The Gift of Allyship: A New Year's Workshop</t>
  </si>
  <si>
    <t>No invoice yet</t>
  </si>
  <si>
    <t>LSIG | Unlocking New Opportunities with AI in Life Sciences</t>
  </si>
  <si>
    <t>March 4 - April 22</t>
  </si>
  <si>
    <t>Male Ally | Engaging More Male Allies | Real World Examples</t>
  </si>
  <si>
    <t xml:space="preserve">FEW Fall Enrollement </t>
  </si>
  <si>
    <t>September 10 - November 1</t>
  </si>
  <si>
    <t>LSIG | Innovation Program</t>
  </si>
  <si>
    <t>Nov 2024</t>
  </si>
  <si>
    <t>546-684</t>
  </si>
  <si>
    <t>(1) Event Sponsorship | 2024 TBD</t>
  </si>
  <si>
    <t>January - November, 2023</t>
  </si>
  <si>
    <t xml:space="preserve">      61530 LWC Expenses</t>
  </si>
  <si>
    <t>Dec 2024</t>
  </si>
  <si>
    <t>Oct 2024</t>
  </si>
  <si>
    <t>Sep 2024</t>
  </si>
  <si>
    <t>Aug 2024</t>
  </si>
  <si>
    <t>Jul 2024</t>
  </si>
  <si>
    <t>Jun 2024</t>
  </si>
  <si>
    <t>May 2024</t>
  </si>
  <si>
    <t>Apr 2024</t>
  </si>
  <si>
    <t>Mar 2024</t>
  </si>
  <si>
    <t>Feb 2024</t>
  </si>
  <si>
    <t>Jan 2024</t>
  </si>
  <si>
    <t>January - December 2024</t>
  </si>
  <si>
    <t xml:space="preserve">Budget Overview: Budget_FY24_P&amp;L - FY24 P&amp;L </t>
  </si>
  <si>
    <t>December, 2023</t>
  </si>
  <si>
    <t>Cooley - Rev Rec</t>
  </si>
  <si>
    <t xml:space="preserve">Quartus </t>
  </si>
  <si>
    <t>Fisher &amp; Phillips</t>
  </si>
  <si>
    <t>12.05 previous loss.  10.31 TE - Reach out 11/1/23 - '24 budget negotiations.  HS didn't renew in 2022.  Try for 2023.</t>
  </si>
  <si>
    <t>Dentons - Acquired by WBD</t>
  </si>
  <si>
    <t>11/01/23 - 10/31/24</t>
  </si>
  <si>
    <t>12.05 TE - No budget.  08.15 HS - Reach out Nov.1 Will reach out to HR person (Sarah). Contact: Derwin</t>
  </si>
  <si>
    <t>Total Corporate Sponsorship 2023 (37)</t>
  </si>
  <si>
    <t>12.05 HS - Emailed Sue Waterbury.  Week of 11/6.  "Wall Street Sue." | 11.29 TE - One last reach out then move to 2024. Gone cold.  10.31 TE - Set up follow up meeting w/ Sue Waterbury.  Week of 11/6.  "Wall Street Sue."</t>
  </si>
  <si>
    <t>11.14 Holly to reach about about 2024 partnership | SH - Per SH - Event p'ship (in Dec.) to explain why co. can move to p'ship.  Contact: Alina</t>
  </si>
  <si>
    <t>11.29 HS - Move to 2024. 10.10 HS - Reached out to Brooke Horan.  End of Q3 2023, 2024 budget?  Thermo acquired PPD.</t>
  </si>
  <si>
    <t>11.29 TE - Move to 2024.  Gone cold. 08.15 HS - Reach out Nov.1 Will reach out to HR person (Sarah). Contact: Derwin</t>
  </si>
  <si>
    <t>12.05 HS - 2024 | 11.29 HS - Move to 2024. |  11.14 Holly to touch base again via email | 10.17 HS - F/u email to Ann.  Sent prospectus to Ann Mueller.  2024? Sent proposal cc'd Nasim.  (was Shotspotter)</t>
  </si>
  <si>
    <t xml:space="preserve">12.05 HS - 2024. 11.29 HS - One more reach out. |11.14 Holly to touch base again via email | 10.10 HS - Hold off. Contact: Naseem &amp; TJ.  Met and have proposal.  Long term for 2024?  </t>
  </si>
  <si>
    <t>12.05 2024 | 11.29 HS -Move to 2024. | 10.10 HS -Gone cold. Lena Hall CHRO - Sent proposal for p'ship and LWC.</t>
  </si>
  <si>
    <t>2024?</t>
  </si>
  <si>
    <t>12.05 TE - No leader for Women's ERG. 11.29 TE - No responses. HS will reach out to Tracy Ting.  Tracy will reply to Badisha and try to get an Oct renewal|11.14 Have not heard back, Tracy will reply to Badisha and try to get an Oct renewal | 10.31 TE - At LWC, met Bidisha.  (Head of Encore ERG/San Diego.  HS - Met w/ Christine Barth 10/13.</t>
  </si>
  <si>
    <t>12.05 HS - No budget.  11.29 TE - Interested in programs only not s'ship.  Holly to touch base again via email | 11.14 Holly to touch base again via email | 10.31 HS - Budget process. Reached out to Susmita Duncan (SDG&amp;E).  Leftover money!!!</t>
  </si>
  <si>
    <t>As of December 31, 2023</t>
  </si>
  <si>
    <t xml:space="preserve">DLA Piper </t>
  </si>
  <si>
    <t>Fragomen - Hosting</t>
  </si>
  <si>
    <t>n/a</t>
  </si>
  <si>
    <t xml:space="preserve">AOB Cohort 13 | Workshop 1 </t>
  </si>
  <si>
    <t xml:space="preserve">DLA </t>
  </si>
  <si>
    <t>Imposter Syndrome Series</t>
  </si>
  <si>
    <t>TSIG |InnovateHER: Female Tech Leaders Crossing the Finish Line</t>
  </si>
  <si>
    <t>Athena Academy Public '23 Spring Cohort | Workshop 1</t>
  </si>
  <si>
    <t xml:space="preserve">ASIG | Women's History Month Mentorfest </t>
  </si>
  <si>
    <t xml:space="preserve">Cue Health </t>
  </si>
  <si>
    <t xml:space="preserve">CXO Forum </t>
  </si>
  <si>
    <t>AOB Cohort 13 | Workshop 2</t>
  </si>
  <si>
    <t>AOB Cohort 13 | Workshop 3</t>
  </si>
  <si>
    <t>ASIG | Mastering the Art of Effective Communication</t>
  </si>
  <si>
    <t>Male Ally | Roadblocks of Male Allyship: Fear</t>
  </si>
  <si>
    <t>SIg Series | Expert's Guide to Negotiation and Influence</t>
  </si>
  <si>
    <t>AOB Cohort 13</t>
  </si>
  <si>
    <t>546-690</t>
  </si>
  <si>
    <t>2024 Annual LWC Summit Founding Member</t>
  </si>
  <si>
    <t>546-685</t>
  </si>
  <si>
    <t>546-693</t>
  </si>
  <si>
    <t>546-690/546-692</t>
  </si>
  <si>
    <t>02/01/24 - 01/31/25</t>
  </si>
  <si>
    <t>Apple</t>
  </si>
  <si>
    <t xml:space="preserve">12.12 HS - Chrystel- still discussing. Will get back as soon as she can. | 11.29 HS - Coming in.  Reached out Chrystel Gelin for p'ship level. | 10.17 HS -F/u with Karen Deschaine-poached from Cooley. Reached out Lori Westin.  Sending event s'ship ideas?  Prior Corporate Sponsor switched to events.to </t>
  </si>
  <si>
    <t>Gensler</t>
  </si>
  <si>
    <t>Snell Willmer</t>
  </si>
  <si>
    <t>Entos Pharma (J&amp;J)</t>
  </si>
  <si>
    <t>11.30 Invoice written off | '08.31 WM Reached out for 4th time.</t>
  </si>
  <si>
    <t>546-689</t>
  </si>
  <si>
    <t>12.12 WM - Invoice sent.</t>
  </si>
  <si>
    <t>01.02 HS - Will reach out. 12.12 HS/TE - No responses from Judy and Christianne.</t>
  </si>
  <si>
    <t>546-691</t>
  </si>
  <si>
    <t>12.14 WM - Invoice sent.</t>
  </si>
  <si>
    <t>Q4 2023 - 2024??</t>
  </si>
  <si>
    <t>546-689 | 546-583</t>
  </si>
  <si>
    <t>546-693 | 546-618</t>
  </si>
  <si>
    <t>546-690 | 546-620</t>
  </si>
  <si>
    <t xml:space="preserve">      51650 Commissions</t>
  </si>
  <si>
    <t xml:space="preserve">Budget vs. Actuals: Budget_FY24_P&amp;L - FY24 P&amp;L </t>
  </si>
  <si>
    <t>eMolecules, Inc.</t>
  </si>
  <si>
    <t>Salk Institute for Biological Studies</t>
  </si>
  <si>
    <t>San Diego State University</t>
  </si>
  <si>
    <t>Scientist.com</t>
  </si>
  <si>
    <t>Travere 01.30 HS - Will discuss at event re: invoice.</t>
  </si>
  <si>
    <t>BCG Confirmed</t>
  </si>
  <si>
    <t>546-695</t>
  </si>
  <si>
    <t xml:space="preserve">aTyr | HS trying to upsell for AGSS below. </t>
  </si>
  <si>
    <t>No sponsor. 03.19 HS - Sent to Julia Barnes @ Salk.</t>
  </si>
  <si>
    <t xml:space="preserve"> JLL/WSGR</t>
  </si>
  <si>
    <t>546-690 | 546-696</t>
  </si>
  <si>
    <t>Yes/No</t>
  </si>
  <si>
    <t xml:space="preserve">FEW Spring Enrollment </t>
  </si>
  <si>
    <t>03.19 HS - Sent to Julia Barnes @ Salk. SH - 37 enrolled.</t>
  </si>
  <si>
    <t>DLA Piper - recognized 02/21/24</t>
  </si>
  <si>
    <t>Quartus.  Confirmed.</t>
  </si>
  <si>
    <t>aTyr.  Figuring out dates.   Holly had lunch with Sanjay 02.13</t>
  </si>
  <si>
    <t>BMS</t>
  </si>
  <si>
    <t>Tyra confirmed</t>
  </si>
  <si>
    <t>546-701</t>
  </si>
  <si>
    <t>December 2024</t>
  </si>
  <si>
    <t>(1) Event Sponsorship - 2024 CXO Forum</t>
  </si>
  <si>
    <t>Q1 CXO Forum Sponsorship</t>
  </si>
  <si>
    <t>546-696</t>
  </si>
  <si>
    <t>(1) Event Sponsorship - LSIG</t>
  </si>
  <si>
    <t>546-697</t>
  </si>
  <si>
    <t>546-698</t>
  </si>
  <si>
    <t>(1) Event Sponsorship - SIG Series | Unlock Your Superpowers, February 7, 2024</t>
  </si>
  <si>
    <t>One (1) AOB Series - Event Sponsorship</t>
  </si>
  <si>
    <t>546-707</t>
  </si>
  <si>
    <t xml:space="preserve">Oracle </t>
  </si>
  <si>
    <t>546-704</t>
  </si>
  <si>
    <t>546-703</t>
  </si>
  <si>
    <t xml:space="preserve">Heron Therapeutics </t>
  </si>
  <si>
    <t>03/01/24 - 02/28/25</t>
  </si>
  <si>
    <t>eMolecules</t>
  </si>
  <si>
    <t>03/15/24 - 03/14/25</t>
  </si>
  <si>
    <t xml:space="preserve">Arcturus </t>
  </si>
  <si>
    <t>546-709</t>
  </si>
  <si>
    <t/>
  </si>
  <si>
    <t>546-706</t>
  </si>
  <si>
    <t>546-702</t>
  </si>
  <si>
    <t>546-708</t>
  </si>
  <si>
    <t xml:space="preserve">Boston Consulting Group </t>
  </si>
  <si>
    <t xml:space="preserve">BioMed Realty </t>
  </si>
  <si>
    <t xml:space="preserve">Noteworthy (Alessandra Wall) </t>
  </si>
  <si>
    <t xml:space="preserve">Enlyte (prev Mitchell Int.) </t>
  </si>
  <si>
    <t xml:space="preserve">PwC </t>
  </si>
  <si>
    <t xml:space="preserve">Bristol Myers Squibb (acquired Turning Point) </t>
  </si>
  <si>
    <t xml:space="preserve">Cooley LLP </t>
  </si>
  <si>
    <t xml:space="preserve">Intuit </t>
  </si>
  <si>
    <t xml:space="preserve">Maravai Life Sciences </t>
  </si>
  <si>
    <t>Two Bear Capital ???</t>
  </si>
  <si>
    <t>03.05 HS - Reached out to Lena re: p'ship invitation. 02.13 HS - Meeting w/ Lena soon.</t>
  </si>
  <si>
    <t xml:space="preserve">Tyra </t>
  </si>
  <si>
    <t>03.05 HS - Reached out to Molly. 02.13 HS - No response yet. 01.31 HS - reached out to CEO (Molly).  Brian - Chief HR, not responding.</t>
  </si>
  <si>
    <t xml:space="preserve">WD-40 </t>
  </si>
  <si>
    <t>Total Corporate Sponsorship 2024 (35)</t>
  </si>
  <si>
    <t>Balboa Bay Partners</t>
  </si>
  <si>
    <t>UCSD</t>
  </si>
  <si>
    <t>03.05 HS - Sent AGA package 02/29/24.</t>
  </si>
  <si>
    <t>CommVault</t>
  </si>
  <si>
    <t>Amouny</t>
  </si>
  <si>
    <t>01.23 HS - BMS honors through BMS's legacy system??</t>
  </si>
  <si>
    <t xml:space="preserve">Ernst &amp; Young </t>
  </si>
  <si>
    <t>01.16 HS - Loss.</t>
  </si>
  <si>
    <t>01.16 WM - Remove.  Haven't renewed since 2021.</t>
  </si>
  <si>
    <t xml:space="preserve">2024 Leads Declined/Postponed </t>
  </si>
  <si>
    <t>Q1 2024- NO,  member only.</t>
  </si>
  <si>
    <t xml:space="preserve">01.16 WM - Remove. 01.09 HS - Lunch w/ Smita(?) Gupta 1/12.  Set up Gensler.  </t>
  </si>
  <si>
    <t>Q1 2024 - NO.</t>
  </si>
  <si>
    <t>01.16 WM - Remove</t>
  </si>
  <si>
    <t xml:space="preserve">01.30 - HS.  Went dark.  01.06 HS - reached out.  Will send info.  12.05 HS - Emailed Sue Waterbury.  </t>
  </si>
  <si>
    <t>02.13 HS - Contact out on medical leave.  Reach out in June. 01.30 HS - Rescheduled to 2/13.  Contact : Adelmise, head of diversity.</t>
  </si>
  <si>
    <t>01.30 HS - Event S'ship.  01.09 HS - Reached out.  (Since May, 2023!) Contact: Naseem</t>
  </si>
  <si>
    <t>546-705</t>
  </si>
  <si>
    <t>546-709 | 546-630</t>
  </si>
  <si>
    <t>546-707 | 546-636</t>
  </si>
  <si>
    <t>546-697 | 546-633</t>
  </si>
  <si>
    <t>546-704 | 546-628</t>
  </si>
  <si>
    <t>546-705 | 546-632</t>
  </si>
  <si>
    <t>546-699</t>
  </si>
  <si>
    <t>546-672 | 546-613</t>
  </si>
  <si>
    <t>Statement of Activity Mar YTD Budget Comparison</t>
  </si>
  <si>
    <t xml:space="preserve">         12000 Undeposited Funds</t>
  </si>
  <si>
    <t xml:space="preserve">      51800 Bank Fees</t>
  </si>
  <si>
    <t>546-710 | 546-640</t>
  </si>
  <si>
    <t>546-710</t>
  </si>
  <si>
    <t>Travere - LOSS 03.26.24</t>
  </si>
  <si>
    <t>Mirati Therapeutics (acquired)</t>
  </si>
  <si>
    <t>04.02 HS - Last reach out? 03.26 HS - Let marinate. 03.19 Reached out. Contact: Rahima 02.27 HS - Waiting to hear back. 02.13 HS - Wendy Quelch (SDG&amp;E) referral.  Meeting w/ 2/19/24.</t>
  </si>
  <si>
    <t>Q2 2024</t>
  </si>
  <si>
    <t>Proven Recruiting</t>
  </si>
  <si>
    <t>04.02 HS - Blew off coffee.  03.26 HS - Coffee w/ Coco. Still working. 03.05 HS - Having dinner w/ CPO. Susan Poser referral.</t>
  </si>
  <si>
    <t>Payment notice received 03/31/24. It will take 5 days to clear in the bank.</t>
  </si>
  <si>
    <t>LSIG | STEM Summer Wine Social</t>
  </si>
  <si>
    <t>TSIG | Transitioning to Leaadership Roles with Confidence | Moving from a Colleague to a Leader</t>
  </si>
  <si>
    <t>(1) Event Sponsorship (October - Oktoberfest Mentorfest)</t>
  </si>
  <si>
    <t>No invoice for aTyr yet</t>
  </si>
  <si>
    <t>November 2024</t>
  </si>
  <si>
    <t>October 2024</t>
  </si>
  <si>
    <t>Noteworthy, Inc. (Alessandra Wall)</t>
  </si>
  <si>
    <t>None</t>
  </si>
  <si>
    <t>Speakers confirmed. No sponsor.</t>
  </si>
  <si>
    <t>Sept. 2024</t>
  </si>
  <si>
    <t>Womble Bond Dickinson confirmed.</t>
  </si>
  <si>
    <t>(1) Event Sponsorship - Invoice- TBD '23 CXO Forum" Per HS, Dentons "went to" WBD.  Recognize revenue 12/24 (holiday party).</t>
  </si>
  <si>
    <t>(1) Event Sponsorship on Q2/Q3 2024 | "Life Sciences Fireside Chat"?</t>
  </si>
  <si>
    <t>(1) Event Sponsorship - Showcasing the Value of Women-centric Tech Design</t>
  </si>
  <si>
    <t xml:space="preserve">	BioMed Realty</t>
  </si>
  <si>
    <t>(1) Event Sponsorship with Digital Promotion</t>
  </si>
  <si>
    <t>546-713</t>
  </si>
  <si>
    <t>04/01/24 - 03/31/25</t>
  </si>
  <si>
    <t>2024 EVENT SPONSORS</t>
  </si>
  <si>
    <t>546-714</t>
  </si>
  <si>
    <t>546-715</t>
  </si>
  <si>
    <t>04.09 SH - Engaging. 03.26 HS - '23 Event sponsor.  $ to "Women in Bio?" 03.19 HS - Reached out to Celia.  02.13 HS - Had renewal call.  Circle back in March.</t>
  </si>
  <si>
    <t>Wells Fargo-Sarah H referral</t>
  </si>
  <si>
    <t>04.16 HS - Reached out. 02.28 HS - To follow up.  Met w/ Celeste 2/10/23.</t>
  </si>
  <si>
    <t>04.16 HS - Reached out to Erin Zlotnik. 06.06 HS - Had coffee w/ Samantha. Replaced by Erin Zlotnik.  04.18 HS - Emailed.  Contact: Samantha Bishop.  Laid off 5/8/23.</t>
  </si>
  <si>
    <t>Saildrone</t>
  </si>
  <si>
    <t>04.30 HS - Reached out. Athena Academy vs. partnership. Contact: Blythe Towal, VP Software  rbtowal@gmail.com</t>
  </si>
  <si>
    <t>KPMG-move</t>
  </si>
  <si>
    <t>04.09 HS - Reached out. 03.19 HS - Reached out to Sarah. 02.27 HS - Considering corp. partner. AA reached out to Sarah? Event s'ship vs. corp. p'ship.  Contact: Sarah Hibberd</t>
  </si>
  <si>
    <t>FY 24 Corporate Sponsorship Revenue Schedule</t>
  </si>
  <si>
    <t>546-713 | 546-644</t>
  </si>
  <si>
    <t>546-714 | 546-646</t>
  </si>
  <si>
    <t xml:space="preserve">            10541 Signify Business Card x7576</t>
  </si>
  <si>
    <t xml:space="preserve">            10542 Signify Business Card x9068</t>
  </si>
  <si>
    <t xml:space="preserve">            10543 Signify Business Card x1475</t>
  </si>
  <si>
    <t>As of May 31, 2024</t>
  </si>
  <si>
    <t>January - May, 2024</t>
  </si>
  <si>
    <t>As of June 2, 2024</t>
  </si>
  <si>
    <t>06.02 Last viewed by client in QBO on 05/01/24 | Invoice 546-707 Silver Corporate Sponsorship 02/01/24-01/31/25 | One (1) AOB Series - Event Sponsorship</t>
  </si>
  <si>
    <t>06.02 Last sent and viewed by client in QBO on 05/09/24 | Invoice 546-716 2024 LWC Summit Sponsorship | September 18, 2024</t>
  </si>
  <si>
    <t>06.02 Last sent and viewed by client in QBO on 05/21/24 | Invoice 546-720 One (1) Event Sponsorship | 2024 CFO Forum</t>
  </si>
  <si>
    <t>06.02 Last viewed by client in QBO on 06/02/24 | Invoice 546-721 Gold Corporate Sponsorship 05/01/24-04/30/25 | One (1) Event Sponsorship</t>
  </si>
  <si>
    <t>06.02 Last viewed by client in QBO on 06/02/24| Invoice 546-714 Silver Corporate Sponsorship 04/01/24-03/31/25</t>
  </si>
  <si>
    <t>Qualcomm Incorporated</t>
  </si>
  <si>
    <t>06.02 Last viewed by client in QBO on 05/30/24| Invoice 546-718 LWC Partner Package</t>
  </si>
  <si>
    <t>DLA Piper - 06.03 WM - Resent invoice, banking/W9  info. to Licia Vaughn. Christine Baird helping to process. 03.12 WM - Sent invoice to Licia Vaughn.</t>
  </si>
  <si>
    <t>Encore Capital Group - 05.09 WM - Invoice sent to Tracy Ting.</t>
  </si>
  <si>
    <t>MMA - 06.02 WM - Form sent to Angelina. 05.21 WM - Sent invoice to Angelina McGuire for 2024 CFO Forum - sent to accounting for payment.</t>
  </si>
  <si>
    <t>Moss Adams - 05.30 WM - Sent invoice to Carisa Wisniewski and Amanda Birdsong.  Due 6/30/24.</t>
  </si>
  <si>
    <t>Noteworthy, Inc. (Alessandra Wall) - 05.12 First installment payment received on 05/10/24.</t>
  </si>
  <si>
    <t>Qualcomm Incorporated - 06.04 HS - To upload to portal. 05.16 WM - Sent invoice to Fatima and received confirmation she received.</t>
  </si>
  <si>
    <t>BMR (s'ship) &amp; Salk (covering F&amp;B).  Rev Rec $3,500 + ticket sales only.  145 registered.</t>
  </si>
  <si>
    <t>Fragomen (Intuit Host- 2 speakers virtual)</t>
  </si>
  <si>
    <t>AOB Cohort 14 | Workshop 1</t>
  </si>
  <si>
    <t>DLA</t>
  </si>
  <si>
    <t>Athena Academy | Aligning EQ with IG to Multiply your Career Opportunities | Workshop 1</t>
  </si>
  <si>
    <t>Public - No Sponsor.  Ticket sales revenue only.</t>
  </si>
  <si>
    <t>HS - Quartus?? Salk? eMolecules?  Scientist.com?</t>
  </si>
  <si>
    <t>Morrison Foerster  See below.</t>
  </si>
  <si>
    <t>Athena Academy | Aligning EQ with IG to Multiply your Career Opportunities | Workshop 2</t>
  </si>
  <si>
    <t>AOB Cohort 14 | Workshop 2</t>
  </si>
  <si>
    <t>WSGR, MMA??</t>
  </si>
  <si>
    <t>Athena Academy | Aligning EQ with IG to Multiply your Career Opportunities | Workshop 3</t>
  </si>
  <si>
    <t>Athena Academy | Aligning EQ with IG to Multiply your Career Opportunities | Workshop 4</t>
  </si>
  <si>
    <t>AOB Cohort 14 | Workshop 3</t>
  </si>
  <si>
    <t>Athena Academy | Aligning EQ with IG to Multiply your Career Opportunities | Workshop 5</t>
  </si>
  <si>
    <t>Dentons/Womble Bond Dickinson</t>
  </si>
  <si>
    <t>8/5-8/9, 8/19-8/23?</t>
  </si>
  <si>
    <t>(1) Event Sponsorship with Digital Promotion - Wine Social 6/13/24?</t>
  </si>
  <si>
    <t>546-721</t>
  </si>
  <si>
    <t>MarshMcLennan Agency</t>
  </si>
  <si>
    <t>(1) Event Sponsorship - 2024 CFO Forum</t>
  </si>
  <si>
    <t>546-720</t>
  </si>
  <si>
    <t>Events Done | Recorded for May 2024 month-end:</t>
  </si>
  <si>
    <t>(1) Event Co-Sponsorship - ASIG Mentorfest, October 12, 2023.  Recognize May, 2024</t>
  </si>
  <si>
    <t>Recognize May 2024</t>
  </si>
  <si>
    <t>2024 LWC Summit Sponsorship | September 18, 2024</t>
  </si>
  <si>
    <t>546-716</t>
  </si>
  <si>
    <t>LWC Partner Package</t>
  </si>
  <si>
    <t>546-718</t>
  </si>
  <si>
    <t>Moved to July 2024</t>
  </si>
  <si>
    <t>One (1) AOB Series - Event Sponsorship | AOB Cohort 14</t>
  </si>
  <si>
    <t>06.03 WM - Resent invoice to Licia Vaughn.</t>
  </si>
  <si>
    <t>Mirati Therapeutics - ACQUIRED.</t>
  </si>
  <si>
    <t>Bought by BMS.</t>
  </si>
  <si>
    <t xml:space="preserve">03.14 WM - Changed to AGA25.  </t>
  </si>
  <si>
    <t>546-719</t>
  </si>
  <si>
    <t xml:space="preserve">05.10 Received first installment payment $1,500 | 04.10 WM - Sent invoice.  Will pay installments. </t>
  </si>
  <si>
    <t>LSIG Innovation Program - Dec. '24</t>
  </si>
  <si>
    <t>Jan. 2024</t>
  </si>
  <si>
    <t xml:space="preserve">06.04 SH - Will meet re: renewal. </t>
  </si>
  <si>
    <t>Q3 '24 CFO Forum</t>
  </si>
  <si>
    <t>546-717</t>
  </si>
  <si>
    <t xml:space="preserve">BDO USA </t>
  </si>
  <si>
    <t xml:space="preserve">06.04 SH - Reached out. </t>
  </si>
  <si>
    <t xml:space="preserve">05.28 HS </t>
  </si>
  <si>
    <t>05.28 HS - Coming in.</t>
  </si>
  <si>
    <t>05.28 SH</t>
  </si>
  <si>
    <t xml:space="preserve">06.04 SH - Meeting w/ 6/18/24. </t>
  </si>
  <si>
    <t xml:space="preserve">Womble Bond Dickinson </t>
  </si>
  <si>
    <t>05.28 HS</t>
  </si>
  <si>
    <t>06.04 HS - Just sent proposal.</t>
  </si>
  <si>
    <t>Ernst &amp; Young - HS still working. LWC sponsor.</t>
  </si>
  <si>
    <t>09/01/24 - 08/31/25</t>
  </si>
  <si>
    <t>Takeda</t>
  </si>
  <si>
    <t>05.14 HS - Working. Upsell to AGA?</t>
  </si>
  <si>
    <t>Question: What is our basis to recognize a loss? Do we only recognize a loss when the client declines sponsorship? Other reasons such as company acquisition/ shutdown/closure won’t be considered a loss even though Athena won’t be receiving sponsorship?</t>
  </si>
  <si>
    <t xml:space="preserve">Did not renew - </t>
  </si>
  <si>
    <t>06.05 HS - New member class.</t>
  </si>
  <si>
    <t>05.14 HS - Loss?</t>
  </si>
  <si>
    <t>05.28 HS - Not sure of budget or authority. Will "socialize with team." 05.23 SH - Meeting w/ Beth Stofka.</t>
  </si>
  <si>
    <t>Anthology (Ed. Tech)</t>
  </si>
  <si>
    <t>05.21 HS - Slow roll.  Introducing HS to head of talent. 05.14 HS - Call w/ Coleman Cooper 5/23.</t>
  </si>
  <si>
    <t xml:space="preserve">04.30 HS - Reached out.  4/15 Touch base w/ Karan. Travel to India. Considering p'ship. 02.27 HS - Pitch 02.29. 02.13 HS - Reached out. Wendy Quach (SDG&amp;E) referral.  </t>
  </si>
  <si>
    <t>05.14 HS - Adelmise on a break.  HS to reengage. Contact : Adelmise, head of diversity.</t>
  </si>
  <si>
    <t>05.14 Remove | shutdown</t>
  </si>
  <si>
    <t>05.14 Remove</t>
  </si>
  <si>
    <t>05.21 HS - Nope.05.08 HS - Reached out to Susan for any update. 04.16 HS - Susan to reach back out to Coco.  HS to find CPO on LI.</t>
  </si>
  <si>
    <t>546-719 | 546-634</t>
  </si>
  <si>
    <t>546-721 | 546-641</t>
  </si>
  <si>
    <t>546-717 | 546-627</t>
  </si>
  <si>
    <t>Athena 	
     Financial Dashboard | May YTD 2024 Budget vs Actual</t>
  </si>
  <si>
    <t>Jan-May 2024 
Actual</t>
  </si>
  <si>
    <t>Jan-May 2024
Budget</t>
  </si>
  <si>
    <t>AGA packages driving outperformance on corporate sponsorships 30% over budget</t>
  </si>
  <si>
    <t>Expenses under budget due to staff scheduling</t>
  </si>
  <si>
    <t>AR up 3x vs PY with continued strong sales in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</si>
</sst>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_(* #,##0_);_(* \(#,##0\);_(* &quot;-&quot;??_);_(@_)"/>
    <numFmt numFmtId="167" formatCode="m/d/yy;@"/>
    <numFmt numFmtId="168" formatCode="_(&quot;$&quot;* #,##0_);_(&quot;$&quot;* \(#,##0\);_(&quot;$&quot;* &quot;-&quot;??_);_(@_)"/>
    <numFmt numFmtId="169" formatCode="[$-409]mmm\-yy;@"/>
    <numFmt numFmtId="170" formatCode="mm/dd/yy;@"/>
    <numFmt numFmtId="171" formatCode="&quot;$&quot;#,##0.00"/>
    <numFmt numFmtId="172" formatCode="&quot;$&quot;#,##0"/>
    <numFmt numFmtId="173" formatCode="_([$$-409]* #,##0.00_);_([$$-409]* \(#,##0.00\);_([$$-409]* &quot;-&quot;??_);_(@_)"/>
    <numFmt numFmtId="174" formatCode="_(&quot;$&quot;* #,##0.000_);_(&quot;$&quot;* \(#,##0.000\);_(&quot;$&quot;* &quot;-&quot;??_);_(@_)"/>
  </numFmts>
  <fonts count="6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Arial"/>
      <family val="2"/>
    </font>
    <font>
      <b/>
      <sz val="8"/>
      <color indexed="81"/>
      <name val="Arial"/>
      <family val="2"/>
    </font>
    <font>
      <sz val="10"/>
      <color rgb="FF40404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93">
    <xf numFmtId="0" fontId="0" fillId="0" borderId="0"/>
    <xf numFmtId="43" fontId="11" fillId="0" borderId="0" applyFont="0" applyFill="0" applyBorder="0" applyAlignment="0" applyProtection="0"/>
    <xf numFmtId="0" fontId="11" fillId="0" borderId="0"/>
    <xf numFmtId="0" fontId="10" fillId="0" borderId="0"/>
    <xf numFmtId="0" fontId="1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2" fillId="2" borderId="0" applyNumberFormat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47">
    <xf numFmtId="0" fontId="0" fillId="0" borderId="0" xfId="0"/>
    <xf numFmtId="0" fontId="10" fillId="0" borderId="0" xfId="3"/>
    <xf numFmtId="166" fontId="0" fillId="0" borderId="0" xfId="5" applyNumberFormat="1" applyFont="1"/>
    <xf numFmtId="166" fontId="0" fillId="0" borderId="0" xfId="5" applyNumberFormat="1" applyFont="1" applyFill="1"/>
    <xf numFmtId="0" fontId="14" fillId="0" borderId="6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wrapText="1"/>
    </xf>
    <xf numFmtId="0" fontId="14" fillId="0" borderId="0" xfId="3" applyFont="1" applyAlignment="1">
      <alignment horizontal="center" vertical="center" wrapText="1"/>
    </xf>
    <xf numFmtId="0" fontId="19" fillId="0" borderId="6" xfId="3" applyFont="1" applyBorder="1"/>
    <xf numFmtId="0" fontId="10" fillId="0" borderId="7" xfId="3" applyBorder="1"/>
    <xf numFmtId="49" fontId="18" fillId="0" borderId="6" xfId="3" applyNumberFormat="1" applyFont="1" applyBorder="1"/>
    <xf numFmtId="49" fontId="18" fillId="0" borderId="0" xfId="3" applyNumberFormat="1" applyFont="1"/>
    <xf numFmtId="167" fontId="14" fillId="0" borderId="7" xfId="3" quotePrefix="1" applyNumberFormat="1" applyFont="1" applyBorder="1"/>
    <xf numFmtId="49" fontId="20" fillId="0" borderId="6" xfId="3" applyNumberFormat="1" applyFont="1" applyBorder="1" applyAlignment="1">
      <alignment horizontal="left" indent="1"/>
    </xf>
    <xf numFmtId="168" fontId="0" fillId="0" borderId="0" xfId="6" applyNumberFormat="1" applyFont="1" applyFill="1" applyBorder="1"/>
    <xf numFmtId="168" fontId="0" fillId="0" borderId="7" xfId="6" applyNumberFormat="1" applyFont="1" applyFill="1" applyBorder="1"/>
    <xf numFmtId="168" fontId="0" fillId="0" borderId="0" xfId="6" applyNumberFormat="1" applyFont="1" applyFill="1" applyBorder="1" applyAlignment="1"/>
    <xf numFmtId="168" fontId="18" fillId="0" borderId="0" xfId="6" applyNumberFormat="1" applyFont="1" applyFill="1" applyBorder="1"/>
    <xf numFmtId="168" fontId="14" fillId="0" borderId="7" xfId="6" applyNumberFormat="1" applyFont="1" applyFill="1" applyBorder="1"/>
    <xf numFmtId="166" fontId="0" fillId="0" borderId="0" xfId="5" applyNumberFormat="1" applyFont="1" applyFill="1" applyBorder="1"/>
    <xf numFmtId="0" fontId="14" fillId="0" borderId="6" xfId="3" applyFont="1" applyBorder="1" applyAlignment="1">
      <alignment horizontal="left" indent="1"/>
    </xf>
    <xf numFmtId="168" fontId="14" fillId="0" borderId="2" xfId="6" applyNumberFormat="1" applyFont="1" applyFill="1" applyBorder="1"/>
    <xf numFmtId="168" fontId="14" fillId="0" borderId="9" xfId="6" applyNumberFormat="1" applyFont="1" applyFill="1" applyBorder="1"/>
    <xf numFmtId="49" fontId="20" fillId="0" borderId="0" xfId="3" applyNumberFormat="1" applyFont="1" applyAlignment="1">
      <alignment horizontal="left" indent="1"/>
    </xf>
    <xf numFmtId="0" fontId="14" fillId="0" borderId="10" xfId="3" applyFont="1" applyBorder="1"/>
    <xf numFmtId="0" fontId="14" fillId="0" borderId="11" xfId="3" applyFont="1" applyBorder="1"/>
    <xf numFmtId="43" fontId="0" fillId="0" borderId="0" xfId="5" applyFont="1"/>
    <xf numFmtId="168" fontId="10" fillId="0" borderId="0" xfId="3" applyNumberFormat="1"/>
    <xf numFmtId="0" fontId="21" fillId="0" borderId="0" xfId="3" applyFont="1"/>
    <xf numFmtId="0" fontId="14" fillId="0" borderId="0" xfId="3" applyFont="1" applyAlignment="1">
      <alignment horizontal="center" wrapText="1"/>
    </xf>
    <xf numFmtId="168" fontId="24" fillId="0" borderId="0" xfId="6" applyNumberFormat="1" applyFont="1" applyFill="1" applyBorder="1" applyAlignment="1"/>
    <xf numFmtId="168" fontId="24" fillId="0" borderId="7" xfId="6" applyNumberFormat="1" applyFont="1" applyFill="1" applyBorder="1"/>
    <xf numFmtId="0" fontId="29" fillId="0" borderId="0" xfId="0" applyFont="1"/>
    <xf numFmtId="166" fontId="11" fillId="0" borderId="0" xfId="5" applyNumberFormat="1" applyFont="1" applyFill="1"/>
    <xf numFmtId="0" fontId="11" fillId="0" borderId="0" xfId="4"/>
    <xf numFmtId="0" fontId="17" fillId="0" borderId="0" xfId="3" applyFont="1" applyAlignment="1">
      <alignment horizontal="center" vertical="center" wrapText="1"/>
    </xf>
    <xf numFmtId="0" fontId="5" fillId="0" borderId="0" xfId="3" applyFont="1"/>
    <xf numFmtId="174" fontId="10" fillId="0" borderId="0" xfId="3" applyNumberFormat="1"/>
    <xf numFmtId="0" fontId="22" fillId="9" borderId="26" xfId="10" applyFont="1" applyFill="1" applyBorder="1"/>
    <xf numFmtId="0" fontId="22" fillId="9" borderId="20" xfId="10" applyFont="1" applyFill="1" applyBorder="1"/>
    <xf numFmtId="0" fontId="24" fillId="0" borderId="0" xfId="0" applyFont="1" applyAlignment="1">
      <alignment horizontal="left" wrapText="1"/>
    </xf>
    <xf numFmtId="0" fontId="22" fillId="9" borderId="20" xfId="10" applyFont="1" applyFill="1" applyBorder="1" applyAlignment="1">
      <alignment horizontal="center"/>
    </xf>
    <xf numFmtId="0" fontId="22" fillId="9" borderId="26" xfId="10" applyFont="1" applyFill="1" applyBorder="1" applyAlignment="1">
      <alignment horizontal="center"/>
    </xf>
    <xf numFmtId="0" fontId="19" fillId="0" borderId="10" xfId="3" applyFont="1" applyBorder="1"/>
    <xf numFmtId="0" fontId="29" fillId="9" borderId="4" xfId="0" applyFont="1" applyFill="1" applyBorder="1"/>
    <xf numFmtId="168" fontId="14" fillId="9" borderId="2" xfId="6" applyNumberFormat="1" applyFont="1" applyFill="1" applyBorder="1"/>
    <xf numFmtId="168" fontId="14" fillId="9" borderId="9" xfId="6" applyNumberFormat="1" applyFont="1" applyFill="1" applyBorder="1"/>
    <xf numFmtId="168" fontId="14" fillId="9" borderId="29" xfId="6" applyNumberFormat="1" applyFont="1" applyFill="1" applyBorder="1"/>
    <xf numFmtId="168" fontId="14" fillId="9" borderId="28" xfId="6" applyNumberFormat="1" applyFont="1" applyFill="1" applyBorder="1"/>
    <xf numFmtId="168" fontId="14" fillId="9" borderId="0" xfId="6" applyNumberFormat="1" applyFont="1" applyFill="1" applyBorder="1"/>
    <xf numFmtId="168" fontId="14" fillId="9" borderId="7" xfId="6" applyNumberFormat="1" applyFont="1" applyFill="1" applyBorder="1"/>
    <xf numFmtId="168" fontId="14" fillId="9" borderId="11" xfId="6" applyNumberFormat="1" applyFont="1" applyFill="1" applyBorder="1"/>
    <xf numFmtId="168" fontId="14" fillId="9" borderId="12" xfId="6" applyNumberFormat="1" applyFont="1" applyFill="1" applyBorder="1"/>
    <xf numFmtId="0" fontId="29" fillId="14" borderId="0" xfId="0" applyFont="1" applyFill="1"/>
    <xf numFmtId="10" fontId="24" fillId="0" borderId="9" xfId="0" applyNumberFormat="1" applyFont="1" applyBorder="1" applyAlignment="1">
      <alignment horizontal="right" wrapText="1"/>
    </xf>
    <xf numFmtId="10" fontId="24" fillId="0" borderId="28" xfId="0" applyNumberFormat="1" applyFont="1" applyBorder="1" applyAlignment="1">
      <alignment horizontal="right" wrapText="1"/>
    </xf>
    <xf numFmtId="9" fontId="5" fillId="0" borderId="0" xfId="44" applyFont="1"/>
    <xf numFmtId="0" fontId="0" fillId="9" borderId="0" xfId="0" applyFill="1"/>
    <xf numFmtId="43" fontId="14" fillId="0" borderId="20" xfId="83" applyFont="1" applyBorder="1"/>
    <xf numFmtId="43" fontId="14" fillId="0" borderId="0" xfId="83" applyFont="1" applyBorder="1"/>
    <xf numFmtId="43" fontId="0" fillId="0" borderId="20" xfId="83" applyFont="1" applyFill="1" applyBorder="1"/>
    <xf numFmtId="171" fontId="14" fillId="0" borderId="20" xfId="83" applyNumberFormat="1" applyFont="1" applyBorder="1" applyAlignment="1">
      <alignment horizontal="right"/>
    </xf>
    <xf numFmtId="166" fontId="0" fillId="0" borderId="20" xfId="83" applyNumberFormat="1" applyFont="1" applyFill="1" applyBorder="1" applyAlignment="1"/>
    <xf numFmtId="166" fontId="23" fillId="0" borderId="20" xfId="83" applyNumberFormat="1" applyFont="1" applyBorder="1" applyAlignment="1">
      <alignment horizontal="right"/>
    </xf>
    <xf numFmtId="166" fontId="23" fillId="0" borderId="20" xfId="83" applyNumberFormat="1" applyFont="1" applyFill="1" applyBorder="1" applyAlignment="1">
      <alignment horizontal="right"/>
    </xf>
    <xf numFmtId="0" fontId="39" fillId="9" borderId="0" xfId="0" applyFont="1" applyFill="1"/>
    <xf numFmtId="0" fontId="39" fillId="9" borderId="20" xfId="0" applyFont="1" applyFill="1" applyBorder="1"/>
    <xf numFmtId="43" fontId="23" fillId="0" borderId="0" xfId="83" applyFont="1" applyFill="1"/>
    <xf numFmtId="43" fontId="0" fillId="0" borderId="0" xfId="83" applyFont="1" applyFill="1"/>
    <xf numFmtId="43" fontId="23" fillId="0" borderId="0" xfId="83" applyFont="1" applyFill="1" applyBorder="1"/>
    <xf numFmtId="0" fontId="41" fillId="9" borderId="22" xfId="0" applyFont="1" applyFill="1" applyBorder="1"/>
    <xf numFmtId="0" fontId="24" fillId="9" borderId="20" xfId="0" applyFont="1" applyFill="1" applyBorder="1"/>
    <xf numFmtId="0" fontId="45" fillId="9" borderId="0" xfId="0" applyFont="1" applyFill="1"/>
    <xf numFmtId="0" fontId="33" fillId="0" borderId="0" xfId="0" applyFont="1"/>
    <xf numFmtId="0" fontId="41" fillId="9" borderId="0" xfId="0" applyFont="1" applyFill="1"/>
    <xf numFmtId="0" fontId="23" fillId="9" borderId="0" xfId="0" applyFont="1" applyFill="1"/>
    <xf numFmtId="10" fontId="0" fillId="0" borderId="7" xfId="0" applyNumberFormat="1" applyBorder="1" applyAlignment="1">
      <alignment horizontal="right" wrapText="1"/>
    </xf>
    <xf numFmtId="43" fontId="0" fillId="0" borderId="0" xfId="1" applyFont="1" applyAlignment="1">
      <alignment horizontal="right" wrapText="1"/>
    </xf>
    <xf numFmtId="43" fontId="0" fillId="0" borderId="0" xfId="1" applyFont="1"/>
    <xf numFmtId="43" fontId="24" fillId="0" borderId="2" xfId="1" applyFont="1" applyBorder="1"/>
    <xf numFmtId="43" fontId="0" fillId="0" borderId="0" xfId="1" applyFont="1" applyBorder="1"/>
    <xf numFmtId="43" fontId="24" fillId="0" borderId="27" xfId="1" applyFont="1" applyBorder="1"/>
    <xf numFmtId="0" fontId="2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6" fillId="9" borderId="0" xfId="0" applyFont="1" applyFill="1" applyAlignment="1">
      <alignment horizontal="center" vertical="center" wrapText="1"/>
    </xf>
    <xf numFmtId="0" fontId="46" fillId="9" borderId="40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43" fontId="0" fillId="0" borderId="6" xfId="0" applyNumberFormat="1" applyBorder="1"/>
    <xf numFmtId="43" fontId="0" fillId="0" borderId="0" xfId="0" applyNumberFormat="1"/>
    <xf numFmtId="43" fontId="24" fillId="0" borderId="34" xfId="1" applyFont="1" applyBorder="1"/>
    <xf numFmtId="43" fontId="24" fillId="0" borderId="35" xfId="1" applyFont="1" applyBorder="1"/>
    <xf numFmtId="43" fontId="24" fillId="0" borderId="29" xfId="1" applyFont="1" applyBorder="1"/>
    <xf numFmtId="168" fontId="14" fillId="0" borderId="0" xfId="6" applyNumberFormat="1" applyFont="1" applyFill="1" applyBorder="1"/>
    <xf numFmtId="44" fontId="23" fillId="0" borderId="20" xfId="87" applyFont="1" applyFill="1" applyBorder="1" applyAlignment="1">
      <alignment horizontal="right"/>
    </xf>
    <xf numFmtId="44" fontId="0" fillId="0" borderId="20" xfId="87" applyFont="1" applyFill="1" applyBorder="1"/>
    <xf numFmtId="44" fontId="14" fillId="0" borderId="20" xfId="87" applyFont="1" applyBorder="1"/>
    <xf numFmtId="0" fontId="14" fillId="9" borderId="20" xfId="19" applyFont="1" applyFill="1" applyBorder="1"/>
    <xf numFmtId="0" fontId="14" fillId="9" borderId="20" xfId="19" applyFont="1" applyFill="1" applyBorder="1" applyAlignment="1">
      <alignment horizontal="center"/>
    </xf>
    <xf numFmtId="0" fontId="8" fillId="0" borderId="0" xfId="19"/>
    <xf numFmtId="171" fontId="14" fillId="0" borderId="18" xfId="19" applyNumberFormat="1" applyFont="1" applyBorder="1"/>
    <xf numFmtId="170" fontId="8" fillId="0" borderId="18" xfId="19" applyNumberFormat="1" applyBorder="1"/>
    <xf numFmtId="172" fontId="8" fillId="0" borderId="18" xfId="19" applyNumberFormat="1" applyBorder="1"/>
    <xf numFmtId="170" fontId="8" fillId="0" borderId="18" xfId="19" applyNumberFormat="1" applyBorder="1" applyAlignment="1">
      <alignment horizontal="center"/>
    </xf>
    <xf numFmtId="0" fontId="8" fillId="0" borderId="20" xfId="19" applyBorder="1"/>
    <xf numFmtId="0" fontId="14" fillId="0" borderId="20" xfId="19" applyFont="1" applyBorder="1"/>
    <xf numFmtId="170" fontId="8" fillId="0" borderId="20" xfId="19" applyNumberFormat="1" applyBorder="1"/>
    <xf numFmtId="172" fontId="23" fillId="0" borderId="20" xfId="19" applyNumberFormat="1" applyFont="1" applyBorder="1"/>
    <xf numFmtId="170" fontId="8" fillId="0" borderId="20" xfId="19" applyNumberFormat="1" applyBorder="1" applyAlignment="1">
      <alignment horizontal="center"/>
    </xf>
    <xf numFmtId="0" fontId="34" fillId="0" borderId="18" xfId="19" applyFont="1" applyBorder="1"/>
    <xf numFmtId="0" fontId="23" fillId="0" borderId="20" xfId="19" applyFont="1" applyBorder="1"/>
    <xf numFmtId="170" fontId="8" fillId="0" borderId="0" xfId="19" applyNumberFormat="1" applyAlignment="1">
      <alignment horizontal="left"/>
    </xf>
    <xf numFmtId="172" fontId="8" fillId="0" borderId="20" xfId="19" applyNumberFormat="1" applyBorder="1"/>
    <xf numFmtId="49" fontId="8" fillId="0" borderId="20" xfId="19" applyNumberFormat="1" applyBorder="1"/>
    <xf numFmtId="0" fontId="8" fillId="0" borderId="20" xfId="19" quotePrefix="1" applyBorder="1"/>
    <xf numFmtId="0" fontId="22" fillId="0" borderId="26" xfId="19" applyFont="1" applyBorder="1"/>
    <xf numFmtId="172" fontId="23" fillId="0" borderId="26" xfId="19" applyNumberFormat="1" applyFont="1" applyBorder="1"/>
    <xf numFmtId="170" fontId="8" fillId="0" borderId="26" xfId="19" applyNumberFormat="1" applyBorder="1" applyAlignment="1">
      <alignment horizontal="center"/>
    </xf>
    <xf numFmtId="0" fontId="8" fillId="0" borderId="26" xfId="19" applyBorder="1"/>
    <xf numFmtId="44" fontId="14" fillId="0" borderId="20" xfId="87" applyFont="1" applyFill="1" applyBorder="1"/>
    <xf numFmtId="171" fontId="14" fillId="0" borderId="24" xfId="19" applyNumberFormat="1" applyFont="1" applyBorder="1"/>
    <xf numFmtId="170" fontId="8" fillId="0" borderId="24" xfId="19" applyNumberFormat="1" applyBorder="1"/>
    <xf numFmtId="172" fontId="8" fillId="0" borderId="24" xfId="19" applyNumberFormat="1" applyBorder="1"/>
    <xf numFmtId="170" fontId="8" fillId="0" borderId="24" xfId="19" applyNumberFormat="1" applyBorder="1" applyAlignment="1">
      <alignment horizontal="center"/>
    </xf>
    <xf numFmtId="170" fontId="23" fillId="0" borderId="24" xfId="19" applyNumberFormat="1" applyFont="1" applyBorder="1" applyAlignment="1">
      <alignment horizontal="center"/>
    </xf>
    <xf numFmtId="0" fontId="30" fillId="0" borderId="24" xfId="19" applyFont="1" applyBorder="1"/>
    <xf numFmtId="0" fontId="14" fillId="0" borderId="18" xfId="19" applyFont="1" applyBorder="1"/>
    <xf numFmtId="170" fontId="23" fillId="0" borderId="18" xfId="19" applyNumberFormat="1" applyFont="1" applyBorder="1"/>
    <xf numFmtId="44" fontId="23" fillId="0" borderId="26" xfId="87" applyFont="1" applyFill="1" applyBorder="1" applyAlignment="1">
      <alignment horizontal="right"/>
    </xf>
    <xf numFmtId="171" fontId="14" fillId="0" borderId="20" xfId="19" applyNumberFormat="1" applyFont="1" applyBorder="1"/>
    <xf numFmtId="0" fontId="19" fillId="15" borderId="14" xfId="19" applyFont="1" applyFill="1" applyBorder="1" applyAlignment="1">
      <alignment horizontal="left"/>
    </xf>
    <xf numFmtId="0" fontId="19" fillId="15" borderId="16" xfId="19" applyFont="1" applyFill="1" applyBorder="1" applyAlignment="1">
      <alignment horizontal="left"/>
    </xf>
    <xf numFmtId="0" fontId="19" fillId="15" borderId="16" xfId="19" applyFont="1" applyFill="1" applyBorder="1" applyAlignment="1">
      <alignment horizontal="center"/>
    </xf>
    <xf numFmtId="0" fontId="19" fillId="15" borderId="36" xfId="19" applyFont="1" applyFill="1" applyBorder="1"/>
    <xf numFmtId="0" fontId="8" fillId="0" borderId="24" xfId="19" applyBorder="1"/>
    <xf numFmtId="0" fontId="8" fillId="0" borderId="18" xfId="19" applyBorder="1" applyAlignment="1">
      <alignment horizontal="left"/>
    </xf>
    <xf numFmtId="44" fontId="8" fillId="0" borderId="18" xfId="19" applyNumberFormat="1" applyBorder="1" applyAlignment="1">
      <alignment horizontal="left"/>
    </xf>
    <xf numFmtId="14" fontId="8" fillId="0" borderId="18" xfId="19" applyNumberFormat="1" applyBorder="1"/>
    <xf numFmtId="171" fontId="14" fillId="0" borderId="38" xfId="19" applyNumberFormat="1" applyFont="1" applyBorder="1"/>
    <xf numFmtId="170" fontId="8" fillId="0" borderId="38" xfId="19" applyNumberFormat="1" applyBorder="1"/>
    <xf numFmtId="172" fontId="8" fillId="0" borderId="38" xfId="19" applyNumberFormat="1" applyBorder="1"/>
    <xf numFmtId="170" fontId="8" fillId="0" borderId="38" xfId="19" applyNumberFormat="1" applyBorder="1" applyAlignment="1">
      <alignment horizontal="center"/>
    </xf>
    <xf numFmtId="0" fontId="8" fillId="0" borderId="38" xfId="19" applyBorder="1"/>
    <xf numFmtId="0" fontId="8" fillId="0" borderId="20" xfId="19" applyBorder="1" applyAlignment="1">
      <alignment horizontal="left"/>
    </xf>
    <xf numFmtId="44" fontId="8" fillId="0" borderId="20" xfId="19" applyNumberFormat="1" applyBorder="1" applyAlignment="1">
      <alignment horizontal="left"/>
    </xf>
    <xf numFmtId="14" fontId="8" fillId="0" borderId="20" xfId="19" applyNumberFormat="1" applyBorder="1"/>
    <xf numFmtId="0" fontId="30" fillId="0" borderId="20" xfId="19" applyFont="1" applyBorder="1"/>
    <xf numFmtId="49" fontId="14" fillId="0" borderId="25" xfId="19" applyNumberFormat="1" applyFont="1" applyBorder="1"/>
    <xf numFmtId="170" fontId="8" fillId="0" borderId="25" xfId="19" applyNumberFormat="1" applyBorder="1"/>
    <xf numFmtId="172" fontId="8" fillId="0" borderId="25" xfId="19" applyNumberFormat="1" applyBorder="1"/>
    <xf numFmtId="170" fontId="8" fillId="0" borderId="25" xfId="19" applyNumberFormat="1" applyBorder="1" applyAlignment="1">
      <alignment horizontal="center"/>
    </xf>
    <xf numFmtId="0" fontId="14" fillId="0" borderId="25" xfId="21" applyFont="1" applyBorder="1"/>
    <xf numFmtId="0" fontId="8" fillId="0" borderId="25" xfId="19" applyBorder="1"/>
    <xf numFmtId="0" fontId="30" fillId="7" borderId="13" xfId="19" applyFont="1" applyFill="1" applyBorder="1"/>
    <xf numFmtId="49" fontId="14" fillId="0" borderId="24" xfId="19" applyNumberFormat="1" applyFont="1" applyBorder="1"/>
    <xf numFmtId="0" fontId="31" fillId="0" borderId="24" xfId="19" applyFont="1" applyBorder="1"/>
    <xf numFmtId="0" fontId="42" fillId="0" borderId="18" xfId="19" applyFont="1" applyBorder="1"/>
    <xf numFmtId="0" fontId="14" fillId="12" borderId="20" xfId="19" applyFont="1" applyFill="1" applyBorder="1"/>
    <xf numFmtId="170" fontId="8" fillId="7" borderId="20" xfId="19" applyNumberFormat="1" applyFill="1" applyBorder="1"/>
    <xf numFmtId="172" fontId="8" fillId="7" borderId="20" xfId="19" applyNumberFormat="1" applyFill="1" applyBorder="1"/>
    <xf numFmtId="0" fontId="31" fillId="0" borderId="20" xfId="19" quotePrefix="1" applyFont="1" applyBorder="1"/>
    <xf numFmtId="0" fontId="14" fillId="0" borderId="0" xfId="19" applyFont="1"/>
    <xf numFmtId="0" fontId="34" fillId="0" borderId="20" xfId="19" applyFont="1" applyBorder="1"/>
    <xf numFmtId="0" fontId="43" fillId="0" borderId="24" xfId="19" applyFont="1" applyBorder="1"/>
    <xf numFmtId="172" fontId="23" fillId="0" borderId="24" xfId="19" applyNumberFormat="1" applyFont="1" applyBorder="1"/>
    <xf numFmtId="0" fontId="31" fillId="0" borderId="24" xfId="19" quotePrefix="1" applyFont="1" applyBorder="1"/>
    <xf numFmtId="172" fontId="23" fillId="0" borderId="18" xfId="19" applyNumberFormat="1" applyFont="1" applyBorder="1"/>
    <xf numFmtId="43" fontId="0" fillId="0" borderId="20" xfId="20" applyFont="1" applyFill="1" applyBorder="1" applyAlignment="1"/>
    <xf numFmtId="170" fontId="23" fillId="0" borderId="20" xfId="19" applyNumberFormat="1" applyFont="1" applyBorder="1"/>
    <xf numFmtId="0" fontId="8" fillId="0" borderId="23" xfId="19" applyBorder="1"/>
    <xf numFmtId="0" fontId="22" fillId="0" borderId="20" xfId="19" applyFont="1" applyBorder="1"/>
    <xf numFmtId="0" fontId="14" fillId="0" borderId="24" xfId="19" applyFont="1" applyBorder="1"/>
    <xf numFmtId="170" fontId="23" fillId="0" borderId="24" xfId="19" applyNumberFormat="1" applyFont="1" applyBorder="1"/>
    <xf numFmtId="0" fontId="40" fillId="0" borderId="20" xfId="19" applyFont="1" applyBorder="1"/>
    <xf numFmtId="0" fontId="20" fillId="0" borderId="20" xfId="19" applyFont="1" applyBorder="1"/>
    <xf numFmtId="0" fontId="31" fillId="0" borderId="18" xfId="19" applyFont="1" applyBorder="1"/>
    <xf numFmtId="43" fontId="14" fillId="0" borderId="20" xfId="20" applyFont="1" applyBorder="1"/>
    <xf numFmtId="0" fontId="30" fillId="0" borderId="20" xfId="19" quotePrefix="1" applyFont="1" applyBorder="1"/>
    <xf numFmtId="0" fontId="34" fillId="0" borderId="20" xfId="19" quotePrefix="1" applyFont="1" applyBorder="1"/>
    <xf numFmtId="0" fontId="13" fillId="0" borderId="0" xfId="19" applyFont="1"/>
    <xf numFmtId="0" fontId="35" fillId="0" borderId="0" xfId="19" applyFont="1"/>
    <xf numFmtId="0" fontId="13" fillId="0" borderId="20" xfId="19" applyFont="1" applyBorder="1"/>
    <xf numFmtId="171" fontId="23" fillId="0" borderId="20" xfId="19" applyNumberFormat="1" applyFont="1" applyBorder="1" applyAlignment="1">
      <alignment horizontal="right"/>
    </xf>
    <xf numFmtId="171" fontId="14" fillId="0" borderId="19" xfId="19" applyNumberFormat="1" applyFont="1" applyBorder="1"/>
    <xf numFmtId="170" fontId="8" fillId="0" borderId="1" xfId="19" applyNumberFormat="1" applyBorder="1"/>
    <xf numFmtId="172" fontId="8" fillId="0" borderId="1" xfId="19" applyNumberFormat="1" applyBorder="1"/>
    <xf numFmtId="170" fontId="8" fillId="0" borderId="1" xfId="19" applyNumberFormat="1" applyBorder="1" applyAlignment="1">
      <alignment horizontal="center"/>
    </xf>
    <xf numFmtId="0" fontId="8" fillId="0" borderId="39" xfId="19" applyBorder="1"/>
    <xf numFmtId="171" fontId="14" fillId="0" borderId="0" xfId="19" applyNumberFormat="1" applyFont="1"/>
    <xf numFmtId="170" fontId="8" fillId="0" borderId="0" xfId="19" applyNumberFormat="1"/>
    <xf numFmtId="172" fontId="8" fillId="0" borderId="0" xfId="19" applyNumberFormat="1"/>
    <xf numFmtId="170" fontId="8" fillId="0" borderId="0" xfId="19" applyNumberFormat="1" applyAlignment="1">
      <alignment horizontal="center"/>
    </xf>
    <xf numFmtId="0" fontId="8" fillId="12" borderId="0" xfId="19" applyFill="1"/>
    <xf numFmtId="0" fontId="8" fillId="0" borderId="0" xfId="19" applyAlignment="1">
      <alignment horizontal="center"/>
    </xf>
    <xf numFmtId="0" fontId="36" fillId="0" borderId="20" xfId="19" applyFont="1" applyBorder="1"/>
    <xf numFmtId="0" fontId="8" fillId="0" borderId="18" xfId="19" applyBorder="1"/>
    <xf numFmtId="171" fontId="23" fillId="0" borderId="20" xfId="19" applyNumberFormat="1" applyFont="1" applyBorder="1" applyAlignment="1">
      <alignment horizontal="left"/>
    </xf>
    <xf numFmtId="170" fontId="23" fillId="0" borderId="0" xfId="19" applyNumberFormat="1" applyFont="1" applyAlignment="1">
      <alignment horizontal="left"/>
    </xf>
    <xf numFmtId="0" fontId="35" fillId="0" borderId="20" xfId="19" applyFont="1" applyBorder="1"/>
    <xf numFmtId="170" fontId="8" fillId="7" borderId="20" xfId="19" applyNumberFormat="1" applyFill="1" applyBorder="1" applyAlignment="1">
      <alignment horizontal="center"/>
    </xf>
    <xf numFmtId="0" fontId="14" fillId="0" borderId="18" xfId="21" applyFont="1" applyBorder="1"/>
    <xf numFmtId="49" fontId="23" fillId="0" borderId="0" xfId="19" applyNumberFormat="1" applyFont="1"/>
    <xf numFmtId="0" fontId="23" fillId="0" borderId="0" xfId="19" applyFont="1"/>
    <xf numFmtId="171" fontId="23" fillId="0" borderId="0" xfId="19" applyNumberFormat="1" applyFont="1" applyAlignment="1">
      <alignment horizontal="right"/>
    </xf>
    <xf numFmtId="0" fontId="8" fillId="9" borderId="22" xfId="19" applyFill="1" applyBorder="1"/>
    <xf numFmtId="49" fontId="14" fillId="0" borderId="20" xfId="19" applyNumberFormat="1" applyFont="1" applyBorder="1"/>
    <xf numFmtId="0" fontId="31" fillId="0" borderId="20" xfId="19" applyFont="1" applyBorder="1"/>
    <xf numFmtId="0" fontId="14" fillId="7" borderId="20" xfId="19" applyFont="1" applyFill="1" applyBorder="1"/>
    <xf numFmtId="0" fontId="37" fillId="0" borderId="20" xfId="19" applyFont="1" applyBorder="1"/>
    <xf numFmtId="0" fontId="44" fillId="0" borderId="20" xfId="19" applyFont="1" applyBorder="1"/>
    <xf numFmtId="171" fontId="22" fillId="0" borderId="20" xfId="19" applyNumberFormat="1" applyFont="1" applyBorder="1"/>
    <xf numFmtId="170" fontId="23" fillId="0" borderId="20" xfId="19" applyNumberFormat="1" applyFont="1" applyBorder="1" applyAlignment="1">
      <alignment horizontal="center"/>
    </xf>
    <xf numFmtId="0" fontId="14" fillId="3" borderId="20" xfId="19" applyFont="1" applyFill="1" applyBorder="1"/>
    <xf numFmtId="0" fontId="8" fillId="7" borderId="20" xfId="19" applyFill="1" applyBorder="1"/>
    <xf numFmtId="171" fontId="23" fillId="0" borderId="20" xfId="19" applyNumberFormat="1" applyFont="1" applyBorder="1" applyAlignment="1">
      <alignment horizontal="center"/>
    </xf>
    <xf numFmtId="43" fontId="14" fillId="0" borderId="20" xfId="20" applyFont="1" applyFill="1" applyBorder="1"/>
    <xf numFmtId="171" fontId="8" fillId="0" borderId="20" xfId="19" applyNumberFormat="1" applyBorder="1" applyAlignment="1">
      <alignment horizontal="center"/>
    </xf>
    <xf numFmtId="166" fontId="8" fillId="0" borderId="0" xfId="19" applyNumberFormat="1"/>
    <xf numFmtId="44" fontId="8" fillId="0" borderId="0" xfId="19" applyNumberFormat="1"/>
    <xf numFmtId="49" fontId="23" fillId="12" borderId="20" xfId="19" applyNumberFormat="1" applyFont="1" applyFill="1" applyBorder="1"/>
    <xf numFmtId="0" fontId="23" fillId="12" borderId="20" xfId="19" applyFont="1" applyFill="1" applyBorder="1"/>
    <xf numFmtId="171" fontId="23" fillId="12" borderId="20" xfId="19" applyNumberFormat="1" applyFont="1" applyFill="1" applyBorder="1" applyAlignment="1">
      <alignment horizontal="right"/>
    </xf>
    <xf numFmtId="0" fontId="8" fillId="12" borderId="20" xfId="19" applyFill="1" applyBorder="1"/>
    <xf numFmtId="171" fontId="8" fillId="0" borderId="0" xfId="19" applyNumberFormat="1" applyAlignment="1">
      <alignment horizontal="center"/>
    </xf>
    <xf numFmtId="0" fontId="37" fillId="12" borderId="20" xfId="19" applyFont="1" applyFill="1" applyBorder="1"/>
    <xf numFmtId="0" fontId="14" fillId="0" borderId="20" xfId="21" applyFont="1" applyBorder="1"/>
    <xf numFmtId="49" fontId="23" fillId="0" borderId="20" xfId="19" applyNumberFormat="1" applyFont="1" applyBorder="1"/>
    <xf numFmtId="171" fontId="14" fillId="0" borderId="20" xfId="19" applyNumberFormat="1" applyFont="1" applyBorder="1" applyAlignment="1">
      <alignment horizontal="right"/>
    </xf>
    <xf numFmtId="166" fontId="14" fillId="0" borderId="0" xfId="20" applyNumberFormat="1" applyFont="1" applyBorder="1"/>
    <xf numFmtId="171" fontId="14" fillId="0" borderId="0" xfId="19" applyNumberFormat="1" applyFont="1" applyAlignment="1">
      <alignment horizontal="right"/>
    </xf>
    <xf numFmtId="49" fontId="8" fillId="0" borderId="0" xfId="19" applyNumberFormat="1"/>
    <xf numFmtId="166" fontId="0" fillId="0" borderId="20" xfId="20" applyNumberFormat="1" applyFont="1" applyFill="1" applyBorder="1" applyAlignment="1"/>
    <xf numFmtId="166" fontId="0" fillId="0" borderId="20" xfId="20" applyNumberFormat="1" applyFont="1" applyFill="1" applyBorder="1"/>
    <xf numFmtId="166" fontId="14" fillId="0" borderId="20" xfId="20" applyNumberFormat="1" applyFont="1" applyBorder="1"/>
    <xf numFmtId="0" fontId="8" fillId="0" borderId="22" xfId="19" applyBorder="1"/>
    <xf numFmtId="0" fontId="8" fillId="6" borderId="0" xfId="19" applyFill="1"/>
    <xf numFmtId="43" fontId="8" fillId="0" borderId="0" xfId="19" applyNumberFormat="1"/>
    <xf numFmtId="166" fontId="0" fillId="0" borderId="20" xfId="20" applyNumberFormat="1" applyFont="1" applyBorder="1"/>
    <xf numFmtId="0" fontId="20" fillId="6" borderId="20" xfId="19" applyFont="1" applyFill="1" applyBorder="1"/>
    <xf numFmtId="171" fontId="8" fillId="0" borderId="0" xfId="19" applyNumberFormat="1"/>
    <xf numFmtId="43" fontId="0" fillId="0" borderId="20" xfId="20" applyFont="1" applyBorder="1"/>
    <xf numFmtId="43" fontId="14" fillId="0" borderId="0" xfId="20" applyFont="1" applyBorder="1"/>
    <xf numFmtId="0" fontId="19" fillId="0" borderId="0" xfId="19" applyFont="1"/>
    <xf numFmtId="0" fontId="8" fillId="0" borderId="0" xfId="19" applyAlignment="1">
      <alignment horizontal="left"/>
    </xf>
    <xf numFmtId="0" fontId="21" fillId="9" borderId="20" xfId="17" applyFont="1" applyFill="1" applyBorder="1" applyAlignment="1">
      <alignment wrapText="1"/>
    </xf>
    <xf numFmtId="171" fontId="21" fillId="9" borderId="20" xfId="17" applyNumberFormat="1" applyFont="1" applyFill="1" applyBorder="1" applyAlignment="1">
      <alignment wrapText="1"/>
    </xf>
    <xf numFmtId="171" fontId="21" fillId="9" borderId="20" xfId="17" applyNumberFormat="1" applyFont="1" applyFill="1" applyBorder="1" applyAlignment="1">
      <alignment horizontal="center" wrapText="1"/>
    </xf>
    <xf numFmtId="0" fontId="14" fillId="9" borderId="20" xfId="17" applyFont="1" applyFill="1" applyBorder="1"/>
    <xf numFmtId="0" fontId="9" fillId="0" borderId="0" xfId="17"/>
    <xf numFmtId="0" fontId="9" fillId="5" borderId="20" xfId="17" applyFill="1" applyBorder="1"/>
    <xf numFmtId="167" fontId="9" fillId="5" borderId="20" xfId="17" applyNumberFormat="1" applyFill="1" applyBorder="1"/>
    <xf numFmtId="171" fontId="0" fillId="5" borderId="20" xfId="18" applyNumberFormat="1" applyFont="1" applyFill="1" applyBorder="1"/>
    <xf numFmtId="171" fontId="9" fillId="5" borderId="20" xfId="17" applyNumberFormat="1" applyFill="1" applyBorder="1" applyAlignment="1">
      <alignment horizontal="center"/>
    </xf>
    <xf numFmtId="44" fontId="0" fillId="5" borderId="20" xfId="18" applyFont="1" applyFill="1" applyBorder="1"/>
    <xf numFmtId="0" fontId="9" fillId="3" borderId="0" xfId="17" applyFill="1"/>
    <xf numFmtId="171" fontId="13" fillId="5" borderId="20" xfId="17" applyNumberFormat="1" applyFont="1" applyFill="1" applyBorder="1" applyAlignment="1">
      <alignment horizontal="center"/>
    </xf>
    <xf numFmtId="171" fontId="11" fillId="5" borderId="20" xfId="18" applyNumberFormat="1" applyFont="1" applyFill="1" applyBorder="1"/>
    <xf numFmtId="44" fontId="11" fillId="5" borderId="20" xfId="18" applyFont="1" applyFill="1" applyBorder="1"/>
    <xf numFmtId="167" fontId="9" fillId="5" borderId="20" xfId="17" applyNumberFormat="1" applyFill="1" applyBorder="1" applyAlignment="1">
      <alignment horizontal="right"/>
    </xf>
    <xf numFmtId="0" fontId="8" fillId="5" borderId="20" xfId="19" applyFill="1" applyBorder="1"/>
    <xf numFmtId="171" fontId="23" fillId="5" borderId="20" xfId="17" applyNumberFormat="1" applyFont="1" applyFill="1" applyBorder="1" applyAlignment="1">
      <alignment horizontal="center"/>
    </xf>
    <xf numFmtId="14" fontId="9" fillId="5" borderId="20" xfId="17" applyNumberFormat="1" applyFill="1" applyBorder="1" applyAlignment="1">
      <alignment horizontal="center"/>
    </xf>
    <xf numFmtId="0" fontId="14" fillId="4" borderId="20" xfId="17" applyFont="1" applyFill="1" applyBorder="1" applyAlignment="1">
      <alignment horizontal="left" indent="2"/>
    </xf>
    <xf numFmtId="167" fontId="14" fillId="4" borderId="20" xfId="17" applyNumberFormat="1" applyFont="1" applyFill="1" applyBorder="1"/>
    <xf numFmtId="0" fontId="14" fillId="4" borderId="20" xfId="17" applyFont="1" applyFill="1" applyBorder="1"/>
    <xf numFmtId="171" fontId="14" fillId="4" borderId="20" xfId="17" applyNumberFormat="1" applyFont="1" applyFill="1" applyBorder="1"/>
    <xf numFmtId="171" fontId="9" fillId="4" borderId="20" xfId="17" applyNumberFormat="1" applyFill="1" applyBorder="1" applyAlignment="1">
      <alignment horizontal="center"/>
    </xf>
    <xf numFmtId="44" fontId="9" fillId="4" borderId="20" xfId="17" applyNumberFormat="1" applyFill="1" applyBorder="1"/>
    <xf numFmtId="0" fontId="9" fillId="8" borderId="20" xfId="17" applyFill="1" applyBorder="1"/>
    <xf numFmtId="167" fontId="9" fillId="8" borderId="20" xfId="17" applyNumberFormat="1" applyFill="1" applyBorder="1" applyAlignment="1">
      <alignment horizontal="right"/>
    </xf>
    <xf numFmtId="0" fontId="8" fillId="8" borderId="20" xfId="19" applyFill="1" applyBorder="1"/>
    <xf numFmtId="171" fontId="11" fillId="8" borderId="20" xfId="18" applyNumberFormat="1" applyFont="1" applyFill="1" applyBorder="1"/>
    <xf numFmtId="171" fontId="9" fillId="8" borderId="20" xfId="17" applyNumberFormat="1" applyFill="1" applyBorder="1" applyAlignment="1">
      <alignment horizontal="center"/>
    </xf>
    <xf numFmtId="171" fontId="23" fillId="8" borderId="20" xfId="17" applyNumberFormat="1" applyFont="1" applyFill="1" applyBorder="1" applyAlignment="1">
      <alignment horizontal="center"/>
    </xf>
    <xf numFmtId="44" fontId="0" fillId="8" borderId="20" xfId="18" applyFont="1" applyFill="1" applyBorder="1"/>
    <xf numFmtId="167" fontId="9" fillId="8" borderId="20" xfId="17" quotePrefix="1" applyNumberFormat="1" applyFill="1" applyBorder="1" applyAlignment="1">
      <alignment horizontal="right"/>
    </xf>
    <xf numFmtId="0" fontId="9" fillId="10" borderId="20" xfId="17" applyFill="1" applyBorder="1"/>
    <xf numFmtId="44" fontId="32" fillId="8" borderId="20" xfId="18" applyFont="1" applyFill="1" applyBorder="1"/>
    <xf numFmtId="0" fontId="9" fillId="7" borderId="0" xfId="17" applyFill="1"/>
    <xf numFmtId="0" fontId="9" fillId="11" borderId="20" xfId="17" applyFill="1" applyBorder="1"/>
    <xf numFmtId="0" fontId="23" fillId="8" borderId="20" xfId="17" applyFont="1" applyFill="1" applyBorder="1"/>
    <xf numFmtId="167" fontId="23" fillId="8" borderId="20" xfId="17" applyNumberFormat="1" applyFont="1" applyFill="1" applyBorder="1" applyAlignment="1">
      <alignment horizontal="right"/>
    </xf>
    <xf numFmtId="0" fontId="23" fillId="8" borderId="20" xfId="19" applyFont="1" applyFill="1" applyBorder="1"/>
    <xf numFmtId="0" fontId="9" fillId="8" borderId="20" xfId="17" applyFill="1" applyBorder="1" applyAlignment="1">
      <alignment wrapText="1"/>
    </xf>
    <xf numFmtId="0" fontId="13" fillId="8" borderId="20" xfId="17" applyFont="1" applyFill="1" applyBorder="1"/>
    <xf numFmtId="0" fontId="9" fillId="8" borderId="0" xfId="17" applyFill="1"/>
    <xf numFmtId="0" fontId="23" fillId="11" borderId="20" xfId="17" applyFont="1" applyFill="1" applyBorder="1"/>
    <xf numFmtId="171" fontId="23" fillId="8" borderId="20" xfId="18" applyNumberFormat="1" applyFont="1" applyFill="1" applyBorder="1"/>
    <xf numFmtId="167" fontId="9" fillId="9" borderId="20" xfId="17" quotePrefix="1" applyNumberFormat="1" applyFill="1" applyBorder="1" applyAlignment="1">
      <alignment horizontal="right"/>
    </xf>
    <xf numFmtId="0" fontId="9" fillId="9" borderId="20" xfId="17" applyFill="1" applyBorder="1"/>
    <xf numFmtId="171" fontId="11" fillId="9" borderId="20" xfId="18" applyNumberFormat="1" applyFont="1" applyFill="1" applyBorder="1"/>
    <xf numFmtId="171" fontId="9" fillId="9" borderId="20" xfId="17" applyNumberFormat="1" applyFill="1" applyBorder="1" applyAlignment="1">
      <alignment horizontal="center"/>
    </xf>
    <xf numFmtId="44" fontId="0" fillId="9" borderId="20" xfId="18" applyFont="1" applyFill="1" applyBorder="1"/>
    <xf numFmtId="167" fontId="9" fillId="10" borderId="20" xfId="17" quotePrefix="1" applyNumberFormat="1" applyFill="1" applyBorder="1" applyAlignment="1">
      <alignment horizontal="right"/>
    </xf>
    <xf numFmtId="0" fontId="8" fillId="10" borderId="20" xfId="19" applyFill="1" applyBorder="1"/>
    <xf numFmtId="171" fontId="11" fillId="10" borderId="20" xfId="18" applyNumberFormat="1" applyFont="1" applyFill="1" applyBorder="1"/>
    <xf numFmtId="171" fontId="9" fillId="10" borderId="20" xfId="17" applyNumberFormat="1" applyFill="1" applyBorder="1" applyAlignment="1">
      <alignment horizontal="center"/>
    </xf>
    <xf numFmtId="171" fontId="23" fillId="10" borderId="20" xfId="17" applyNumberFormat="1" applyFont="1" applyFill="1" applyBorder="1" applyAlignment="1">
      <alignment horizontal="center"/>
    </xf>
    <xf numFmtId="44" fontId="0" fillId="10" borderId="20" xfId="18" applyFont="1" applyFill="1" applyBorder="1"/>
    <xf numFmtId="0" fontId="30" fillId="9" borderId="20" xfId="17" applyFont="1" applyFill="1" applyBorder="1"/>
    <xf numFmtId="167" fontId="23" fillId="9" borderId="20" xfId="17" quotePrefix="1" applyNumberFormat="1" applyFont="1" applyFill="1" applyBorder="1" applyAlignment="1">
      <alignment horizontal="right"/>
    </xf>
    <xf numFmtId="0" fontId="35" fillId="9" borderId="20" xfId="17" applyFont="1" applyFill="1" applyBorder="1"/>
    <xf numFmtId="171" fontId="23" fillId="9" borderId="20" xfId="17" applyNumberFormat="1" applyFont="1" applyFill="1" applyBorder="1" applyAlignment="1">
      <alignment horizontal="center"/>
    </xf>
    <xf numFmtId="0" fontId="31" fillId="9" borderId="20" xfId="17" applyFont="1" applyFill="1" applyBorder="1"/>
    <xf numFmtId="167" fontId="9" fillId="9" borderId="20" xfId="17" applyNumberFormat="1" applyFill="1" applyBorder="1" applyAlignment="1">
      <alignment horizontal="right"/>
    </xf>
    <xf numFmtId="0" fontId="8" fillId="9" borderId="20" xfId="19" applyFill="1" applyBorder="1"/>
    <xf numFmtId="14" fontId="23" fillId="9" borderId="20" xfId="19" applyNumberFormat="1" applyFont="1" applyFill="1" applyBorder="1"/>
    <xf numFmtId="0" fontId="23" fillId="9" borderId="20" xfId="19" applyFont="1" applyFill="1" applyBorder="1"/>
    <xf numFmtId="171" fontId="23" fillId="9" borderId="20" xfId="18" applyNumberFormat="1" applyFont="1" applyFill="1" applyBorder="1" applyAlignment="1">
      <alignment horizontal="right"/>
    </xf>
    <xf numFmtId="44" fontId="11" fillId="9" borderId="20" xfId="18" applyFont="1" applyFill="1" applyBorder="1"/>
    <xf numFmtId="0" fontId="9" fillId="0" borderId="20" xfId="17" applyBorder="1"/>
    <xf numFmtId="167" fontId="23" fillId="0" borderId="20" xfId="17" quotePrefix="1" applyNumberFormat="1" applyFont="1" applyBorder="1" applyAlignment="1">
      <alignment horizontal="right"/>
    </xf>
    <xf numFmtId="171" fontId="11" fillId="0" borderId="20" xfId="18" applyNumberFormat="1" applyFont="1" applyFill="1" applyBorder="1"/>
    <xf numFmtId="171" fontId="9" fillId="0" borderId="20" xfId="17" applyNumberFormat="1" applyBorder="1" applyAlignment="1">
      <alignment horizontal="center"/>
    </xf>
    <xf numFmtId="171" fontId="23" fillId="0" borderId="20" xfId="17" applyNumberFormat="1" applyFont="1" applyBorder="1" applyAlignment="1">
      <alignment horizontal="center"/>
    </xf>
    <xf numFmtId="44" fontId="0" fillId="0" borderId="20" xfId="18" applyFont="1" applyFill="1" applyBorder="1"/>
    <xf numFmtId="0" fontId="14" fillId="9" borderId="20" xfId="17" applyFont="1" applyFill="1" applyBorder="1" applyAlignment="1">
      <alignment horizontal="left" indent="2"/>
    </xf>
    <xf numFmtId="167" fontId="14" fillId="9" borderId="20" xfId="17" applyNumberFormat="1" applyFont="1" applyFill="1" applyBorder="1"/>
    <xf numFmtId="171" fontId="14" fillId="9" borderId="20" xfId="17" applyNumberFormat="1" applyFont="1" applyFill="1" applyBorder="1"/>
    <xf numFmtId="44" fontId="9" fillId="9" borderId="20" xfId="17" applyNumberFormat="1" applyFill="1" applyBorder="1"/>
    <xf numFmtId="0" fontId="17" fillId="13" borderId="20" xfId="17" applyFont="1" applyFill="1" applyBorder="1" applyAlignment="1">
      <alignment horizontal="left" indent="2"/>
    </xf>
    <xf numFmtId="167" fontId="14" fillId="13" borderId="20" xfId="17" applyNumberFormat="1" applyFont="1" applyFill="1" applyBorder="1"/>
    <xf numFmtId="0" fontId="14" fillId="13" borderId="20" xfId="17" applyFont="1" applyFill="1" applyBorder="1"/>
    <xf numFmtId="171" fontId="14" fillId="13" borderId="20" xfId="17" applyNumberFormat="1" applyFont="1" applyFill="1" applyBorder="1"/>
    <xf numFmtId="171" fontId="9" fillId="13" borderId="20" xfId="17" applyNumberFormat="1" applyFill="1" applyBorder="1" applyAlignment="1">
      <alignment horizontal="center"/>
    </xf>
    <xf numFmtId="44" fontId="9" fillId="13" borderId="20" xfId="17" applyNumberFormat="1" applyFill="1" applyBorder="1"/>
    <xf numFmtId="170" fontId="9" fillId="9" borderId="20" xfId="17" applyNumberFormat="1" applyFill="1" applyBorder="1" applyAlignment="1">
      <alignment horizontal="right"/>
    </xf>
    <xf numFmtId="0" fontId="34" fillId="9" borderId="20" xfId="17" applyFont="1" applyFill="1" applyBorder="1"/>
    <xf numFmtId="170" fontId="9" fillId="9" borderId="20" xfId="17" applyNumberFormat="1" applyFill="1" applyBorder="1"/>
    <xf numFmtId="171" fontId="9" fillId="9" borderId="20" xfId="17" applyNumberFormat="1" applyFill="1" applyBorder="1"/>
    <xf numFmtId="0" fontId="37" fillId="9" borderId="20" xfId="17" applyFont="1" applyFill="1" applyBorder="1"/>
    <xf numFmtId="170" fontId="23" fillId="9" borderId="20" xfId="17" applyNumberFormat="1" applyFont="1" applyFill="1" applyBorder="1" applyAlignment="1">
      <alignment horizontal="right"/>
    </xf>
    <xf numFmtId="171" fontId="23" fillId="9" borderId="20" xfId="18" applyNumberFormat="1" applyFont="1" applyFill="1" applyBorder="1"/>
    <xf numFmtId="170" fontId="6" fillId="9" borderId="20" xfId="17" applyNumberFormat="1" applyFont="1" applyFill="1" applyBorder="1" applyAlignment="1">
      <alignment horizontal="right"/>
    </xf>
    <xf numFmtId="171" fontId="0" fillId="9" borderId="20" xfId="18" applyNumberFormat="1" applyFont="1" applyFill="1" applyBorder="1"/>
    <xf numFmtId="0" fontId="34" fillId="9" borderId="26" xfId="17" applyFont="1" applyFill="1" applyBorder="1"/>
    <xf numFmtId="170" fontId="9" fillId="9" borderId="26" xfId="17" applyNumberFormat="1" applyFill="1" applyBorder="1" applyAlignment="1">
      <alignment horizontal="right"/>
    </xf>
    <xf numFmtId="171" fontId="11" fillId="9" borderId="26" xfId="18" applyNumberFormat="1" applyFont="1" applyFill="1" applyBorder="1"/>
    <xf numFmtId="171" fontId="9" fillId="9" borderId="26" xfId="17" applyNumberFormat="1" applyFill="1" applyBorder="1" applyAlignment="1">
      <alignment horizontal="center"/>
    </xf>
    <xf numFmtId="171" fontId="23" fillId="9" borderId="26" xfId="17" applyNumberFormat="1" applyFont="1" applyFill="1" applyBorder="1" applyAlignment="1">
      <alignment horizontal="center"/>
    </xf>
    <xf numFmtId="44" fontId="0" fillId="9" borderId="26" xfId="18" applyFont="1" applyFill="1" applyBorder="1"/>
    <xf numFmtId="170" fontId="9" fillId="0" borderId="20" xfId="17" quotePrefix="1" applyNumberFormat="1" applyBorder="1" applyAlignment="1">
      <alignment horizontal="right"/>
    </xf>
    <xf numFmtId="171" fontId="9" fillId="0" borderId="0" xfId="17" applyNumberFormat="1"/>
    <xf numFmtId="171" fontId="9" fillId="0" borderId="0" xfId="17" applyNumberFormat="1" applyAlignment="1">
      <alignment horizontal="center"/>
    </xf>
    <xf numFmtId="0" fontId="9" fillId="0" borderId="23" xfId="17" applyBorder="1"/>
    <xf numFmtId="170" fontId="9" fillId="0" borderId="0" xfId="17" quotePrefix="1" applyNumberFormat="1" applyAlignment="1">
      <alignment horizontal="right"/>
    </xf>
    <xf numFmtId="171" fontId="11" fillId="0" borderId="0" xfId="18" applyNumberFormat="1" applyFont="1" applyFill="1" applyBorder="1"/>
    <xf numFmtId="171" fontId="23" fillId="0" borderId="0" xfId="17" applyNumberFormat="1" applyFont="1" applyAlignment="1">
      <alignment horizontal="center"/>
    </xf>
    <xf numFmtId="44" fontId="0" fillId="0" borderId="0" xfId="18" applyFont="1" applyFill="1" applyBorder="1"/>
    <xf numFmtId="167" fontId="9" fillId="0" borderId="0" xfId="17" applyNumberFormat="1" applyAlignment="1">
      <alignment horizontal="right"/>
    </xf>
    <xf numFmtId="0" fontId="14" fillId="9" borderId="14" xfId="19" applyFont="1" applyFill="1" applyBorder="1"/>
    <xf numFmtId="0" fontId="14" fillId="9" borderId="16" xfId="19" applyFont="1" applyFill="1" applyBorder="1" applyAlignment="1">
      <alignment horizontal="center"/>
    </xf>
    <xf numFmtId="0" fontId="14" fillId="9" borderId="0" xfId="19" applyFont="1" applyFill="1"/>
    <xf numFmtId="0" fontId="22" fillId="0" borderId="0" xfId="19" applyFont="1"/>
    <xf numFmtId="0" fontId="8" fillId="0" borderId="0" xfId="19" applyAlignment="1">
      <alignment horizontal="right"/>
    </xf>
    <xf numFmtId="170" fontId="23" fillId="0" borderId="0" xfId="19" applyNumberFormat="1" applyFont="1"/>
    <xf numFmtId="43" fontId="22" fillId="0" borderId="0" xfId="20" applyFont="1" applyFill="1" applyBorder="1"/>
    <xf numFmtId="167" fontId="22" fillId="0" borderId="0" xfId="19" applyNumberFormat="1" applyFont="1" applyAlignment="1">
      <alignment horizontal="center"/>
    </xf>
    <xf numFmtId="0" fontId="36" fillId="0" borderId="0" xfId="19" applyFont="1" applyAlignment="1">
      <alignment vertical="center" wrapText="1"/>
    </xf>
    <xf numFmtId="0" fontId="23" fillId="0" borderId="0" xfId="17" applyFont="1"/>
    <xf numFmtId="14" fontId="23" fillId="0" borderId="0" xfId="19" applyNumberFormat="1" applyFont="1"/>
    <xf numFmtId="43" fontId="23" fillId="0" borderId="0" xfId="20" applyFont="1" applyFill="1" applyBorder="1"/>
    <xf numFmtId="167" fontId="13" fillId="0" borderId="0" xfId="19" applyNumberFormat="1" applyFont="1" applyAlignment="1">
      <alignment horizontal="center"/>
    </xf>
    <xf numFmtId="0" fontId="31" fillId="0" borderId="0" xfId="19" applyFont="1" applyAlignment="1">
      <alignment vertical="center" wrapText="1"/>
    </xf>
    <xf numFmtId="14" fontId="8" fillId="0" borderId="0" xfId="19" applyNumberFormat="1"/>
    <xf numFmtId="43" fontId="22" fillId="0" borderId="2" xfId="20" applyFont="1" applyFill="1" applyBorder="1"/>
    <xf numFmtId="167" fontId="23" fillId="0" borderId="0" xfId="19" applyNumberFormat="1" applyFont="1" applyAlignment="1">
      <alignment horizontal="center"/>
    </xf>
    <xf numFmtId="170" fontId="22" fillId="0" borderId="0" xfId="19" applyNumberFormat="1" applyFont="1" applyAlignment="1">
      <alignment horizontal="right"/>
    </xf>
    <xf numFmtId="14" fontId="8" fillId="9" borderId="0" xfId="19" applyNumberFormat="1" applyFill="1" applyAlignment="1">
      <alignment horizontal="right"/>
    </xf>
    <xf numFmtId="43" fontId="24" fillId="9" borderId="27" xfId="20" applyFont="1" applyFill="1" applyBorder="1"/>
    <xf numFmtId="0" fontId="8" fillId="9" borderId="0" xfId="19" applyFill="1" applyAlignment="1">
      <alignment horizontal="center"/>
    </xf>
    <xf numFmtId="14" fontId="8" fillId="0" borderId="0" xfId="19" applyNumberFormat="1" applyAlignment="1">
      <alignment horizontal="right"/>
    </xf>
    <xf numFmtId="43" fontId="24" fillId="0" borderId="0" xfId="20" applyFont="1" applyBorder="1"/>
    <xf numFmtId="43" fontId="0" fillId="0" borderId="0" xfId="20" applyFont="1" applyBorder="1"/>
    <xf numFmtId="0" fontId="14" fillId="9" borderId="3" xfId="19" applyFont="1" applyFill="1" applyBorder="1"/>
    <xf numFmtId="0" fontId="8" fillId="9" borderId="4" xfId="19" applyFill="1" applyBorder="1"/>
    <xf numFmtId="0" fontId="14" fillId="9" borderId="4" xfId="19" applyFont="1" applyFill="1" applyBorder="1" applyAlignment="1">
      <alignment horizontal="center"/>
    </xf>
    <xf numFmtId="171" fontId="21" fillId="9" borderId="36" xfId="17" applyNumberFormat="1" applyFont="1" applyFill="1" applyBorder="1" applyAlignment="1">
      <alignment horizontal="center" wrapText="1"/>
    </xf>
    <xf numFmtId="171" fontId="6" fillId="0" borderId="0" xfId="17" applyNumberFormat="1" applyFont="1" applyAlignment="1">
      <alignment horizontal="center" wrapText="1"/>
    </xf>
    <xf numFmtId="0" fontId="8" fillId="0" borderId="0" xfId="19" applyAlignment="1">
      <alignment wrapText="1"/>
    </xf>
    <xf numFmtId="43" fontId="14" fillId="9" borderId="27" xfId="20" applyFont="1" applyFill="1" applyBorder="1"/>
    <xf numFmtId="43" fontId="14" fillId="0" borderId="0" xfId="20" applyFont="1" applyFill="1" applyBorder="1"/>
    <xf numFmtId="170" fontId="8" fillId="9" borderId="4" xfId="19" applyNumberFormat="1" applyFill="1" applyBorder="1"/>
    <xf numFmtId="14" fontId="8" fillId="9" borderId="4" xfId="19" applyNumberFormat="1" applyFill="1" applyBorder="1"/>
    <xf numFmtId="43" fontId="14" fillId="9" borderId="4" xfId="20" applyFont="1" applyFill="1" applyBorder="1" applyAlignment="1">
      <alignment horizontal="center"/>
    </xf>
    <xf numFmtId="43" fontId="0" fillId="0" borderId="0" xfId="20" applyFont="1" applyFill="1"/>
    <xf numFmtId="43" fontId="11" fillId="0" borderId="0" xfId="20" applyFont="1" applyFill="1"/>
    <xf numFmtId="43" fontId="14" fillId="9" borderId="37" xfId="20" applyFont="1" applyFill="1" applyBorder="1"/>
    <xf numFmtId="0" fontId="8" fillId="14" borderId="0" xfId="19" applyFill="1"/>
    <xf numFmtId="170" fontId="8" fillId="14" borderId="0" xfId="19" applyNumberFormat="1" applyFill="1"/>
    <xf numFmtId="14" fontId="8" fillId="14" borderId="0" xfId="19" applyNumberFormat="1" applyFill="1"/>
    <xf numFmtId="43" fontId="14" fillId="14" borderId="0" xfId="20" applyFont="1" applyFill="1"/>
    <xf numFmtId="0" fontId="8" fillId="14" borderId="0" xfId="19" applyFill="1" applyAlignment="1">
      <alignment horizontal="center"/>
    </xf>
    <xf numFmtId="170" fontId="14" fillId="0" borderId="0" xfId="19" applyNumberFormat="1" applyFont="1"/>
    <xf numFmtId="0" fontId="14" fillId="0" borderId="0" xfId="19" applyFont="1" applyAlignment="1">
      <alignment horizontal="center"/>
    </xf>
    <xf numFmtId="14" fontId="8" fillId="0" borderId="0" xfId="19" applyNumberFormat="1" applyAlignment="1">
      <alignment horizontal="center"/>
    </xf>
    <xf numFmtId="14" fontId="8" fillId="0" borderId="0" xfId="19" applyNumberFormat="1" applyAlignment="1">
      <alignment horizontal="left"/>
    </xf>
    <xf numFmtId="43" fontId="0" fillId="0" borderId="0" xfId="20" applyFont="1"/>
    <xf numFmtId="16" fontId="8" fillId="0" borderId="0" xfId="19" applyNumberFormat="1"/>
    <xf numFmtId="167" fontId="8" fillId="0" borderId="0" xfId="19" applyNumberFormat="1" applyAlignment="1">
      <alignment horizontal="center"/>
    </xf>
    <xf numFmtId="173" fontId="8" fillId="0" borderId="0" xfId="19" applyNumberFormat="1" applyAlignment="1">
      <alignment horizontal="center"/>
    </xf>
    <xf numFmtId="43" fontId="0" fillId="0" borderId="0" xfId="20" applyFont="1" applyFill="1" applyBorder="1"/>
    <xf numFmtId="43" fontId="8" fillId="0" borderId="0" xfId="19" applyNumberFormat="1" applyAlignment="1">
      <alignment horizontal="center"/>
    </xf>
    <xf numFmtId="43" fontId="23" fillId="0" borderId="0" xfId="20" applyFont="1" applyFill="1"/>
    <xf numFmtId="43" fontId="23" fillId="0" borderId="0" xfId="19" applyNumberFormat="1" applyFont="1" applyAlignment="1">
      <alignment horizontal="center"/>
    </xf>
    <xf numFmtId="43" fontId="13" fillId="0" borderId="0" xfId="20" applyFont="1" applyFill="1"/>
    <xf numFmtId="0" fontId="13" fillId="0" borderId="0" xfId="19" applyFont="1" applyAlignment="1">
      <alignment horizontal="left"/>
    </xf>
    <xf numFmtId="0" fontId="8" fillId="10" borderId="0" xfId="19" applyFill="1"/>
    <xf numFmtId="170" fontId="8" fillId="10" borderId="0" xfId="19" applyNumberFormat="1" applyFill="1"/>
    <xf numFmtId="14" fontId="8" fillId="10" borderId="0" xfId="19" applyNumberFormat="1" applyFill="1"/>
    <xf numFmtId="43" fontId="23" fillId="10" borderId="0" xfId="20" applyFont="1" applyFill="1" applyBorder="1"/>
    <xf numFmtId="167" fontId="23" fillId="10" borderId="0" xfId="19" applyNumberFormat="1" applyFont="1" applyFill="1" applyAlignment="1">
      <alignment horizontal="center"/>
    </xf>
    <xf numFmtId="14" fontId="8" fillId="10" borderId="0" xfId="19" applyNumberFormat="1" applyFill="1" applyAlignment="1">
      <alignment horizontal="center"/>
    </xf>
    <xf numFmtId="167" fontId="23" fillId="0" borderId="0" xfId="19" applyNumberFormat="1" applyFont="1" applyAlignment="1">
      <alignment horizontal="left"/>
    </xf>
    <xf numFmtId="14" fontId="23" fillId="0" borderId="0" xfId="19" applyNumberFormat="1" applyFont="1" applyAlignment="1">
      <alignment horizontal="center"/>
    </xf>
    <xf numFmtId="43" fontId="0" fillId="0" borderId="27" xfId="20" applyFont="1" applyFill="1" applyBorder="1"/>
    <xf numFmtId="43" fontId="11" fillId="0" borderId="27" xfId="20" applyFont="1" applyFill="1" applyBorder="1"/>
    <xf numFmtId="43" fontId="24" fillId="0" borderId="0" xfId="20" applyFont="1" applyFill="1" applyBorder="1"/>
    <xf numFmtId="43" fontId="0" fillId="0" borderId="0" xfId="20" applyFont="1" applyAlignment="1">
      <alignment horizontal="right"/>
    </xf>
    <xf numFmtId="43" fontId="0" fillId="0" borderId="0" xfId="20" applyFont="1" applyBorder="1" applyAlignment="1">
      <alignment horizontal="right"/>
    </xf>
    <xf numFmtId="43" fontId="0" fillId="0" borderId="0" xfId="20" applyFont="1" applyFill="1" applyBorder="1" applyAlignment="1">
      <alignment horizontal="right"/>
    </xf>
    <xf numFmtId="0" fontId="8" fillId="0" borderId="0" xfId="19" applyAlignment="1">
      <alignment vertical="center"/>
    </xf>
    <xf numFmtId="170" fontId="14" fillId="0" borderId="0" xfId="19" applyNumberFormat="1" applyFont="1" applyAlignment="1">
      <alignment horizontal="center"/>
    </xf>
    <xf numFmtId="170" fontId="13" fillId="0" borderId="0" xfId="19" applyNumberFormat="1" applyFont="1"/>
    <xf numFmtId="173" fontId="8" fillId="0" borderId="0" xfId="19" applyNumberFormat="1" applyAlignment="1">
      <alignment horizontal="left"/>
    </xf>
    <xf numFmtId="0" fontId="38" fillId="0" borderId="20" xfId="19" applyFont="1" applyBorder="1"/>
    <xf numFmtId="171" fontId="14" fillId="12" borderId="18" xfId="19" applyNumberFormat="1" applyFont="1" applyFill="1" applyBorder="1"/>
    <xf numFmtId="0" fontId="31" fillId="0" borderId="18" xfId="19" quotePrefix="1" applyFont="1" applyBorder="1"/>
    <xf numFmtId="0" fontId="22" fillId="0" borderId="18" xfId="19" applyFont="1" applyBorder="1"/>
    <xf numFmtId="167" fontId="13" fillId="9" borderId="20" xfId="17" quotePrefix="1" applyNumberFormat="1" applyFont="1" applyFill="1" applyBorder="1" applyAlignment="1">
      <alignment horizontal="right"/>
    </xf>
    <xf numFmtId="0" fontId="13" fillId="9" borderId="20" xfId="17" applyFont="1" applyFill="1" applyBorder="1"/>
    <xf numFmtId="170" fontId="9" fillId="9" borderId="20" xfId="17" quotePrefix="1" applyNumberFormat="1" applyFill="1" applyBorder="1" applyAlignment="1">
      <alignment horizontal="right"/>
    </xf>
    <xf numFmtId="0" fontId="9" fillId="0" borderId="20" xfId="17" applyBorder="1" applyAlignment="1">
      <alignment horizontal="left"/>
    </xf>
    <xf numFmtId="0" fontId="23" fillId="0" borderId="20" xfId="19" applyFont="1" applyBorder="1" applyAlignment="1">
      <alignment horizontal="left"/>
    </xf>
    <xf numFmtId="0" fontId="9" fillId="0" borderId="20" xfId="17" applyBorder="1" applyAlignment="1">
      <alignment horizontal="center"/>
    </xf>
    <xf numFmtId="0" fontId="23" fillId="0" borderId="20" xfId="17" applyFont="1" applyBorder="1" applyAlignment="1">
      <alignment horizontal="center"/>
    </xf>
    <xf numFmtId="0" fontId="0" fillId="0" borderId="20" xfId="18" applyNumberFormat="1" applyFont="1" applyFill="1" applyBorder="1" applyAlignment="1">
      <alignment horizontal="left"/>
    </xf>
    <xf numFmtId="43" fontId="22" fillId="0" borderId="27" xfId="20" applyFont="1" applyFill="1" applyBorder="1"/>
    <xf numFmtId="14" fontId="18" fillId="0" borderId="0" xfId="3" applyNumberFormat="1" applyFont="1" applyAlignment="1">
      <alignment horizontal="center"/>
    </xf>
    <xf numFmtId="14" fontId="18" fillId="0" borderId="8" xfId="3" applyNumberFormat="1" applyFont="1" applyBorder="1" applyAlignment="1">
      <alignment horizontal="center"/>
    </xf>
    <xf numFmtId="43" fontId="0" fillId="0" borderId="0" xfId="1" applyFont="1" applyFill="1"/>
    <xf numFmtId="0" fontId="21" fillId="11" borderId="0" xfId="19" applyFont="1" applyFill="1" applyAlignment="1">
      <alignment horizontal="left"/>
    </xf>
    <xf numFmtId="0" fontId="8" fillId="11" borderId="0" xfId="19" applyFill="1"/>
    <xf numFmtId="0" fontId="8" fillId="11" borderId="0" xfId="19" applyFill="1" applyAlignment="1">
      <alignment horizontal="center"/>
    </xf>
    <xf numFmtId="0" fontId="30" fillId="0" borderId="13" xfId="19" applyFont="1" applyBorder="1"/>
    <xf numFmtId="0" fontId="14" fillId="0" borderId="38" xfId="19" applyFont="1" applyBorder="1"/>
    <xf numFmtId="170" fontId="23" fillId="0" borderId="38" xfId="19" applyNumberFormat="1" applyFont="1" applyBorder="1"/>
    <xf numFmtId="172" fontId="23" fillId="0" borderId="38" xfId="19" applyNumberFormat="1" applyFont="1" applyBorder="1"/>
    <xf numFmtId="170" fontId="8" fillId="0" borderId="16" xfId="19" applyNumberFormat="1" applyBorder="1"/>
    <xf numFmtId="172" fontId="8" fillId="0" borderId="16" xfId="19" applyNumberFormat="1" applyBorder="1"/>
    <xf numFmtId="170" fontId="8" fillId="0" borderId="16" xfId="19" applyNumberFormat="1" applyBorder="1" applyAlignment="1">
      <alignment horizontal="center"/>
    </xf>
    <xf numFmtId="0" fontId="14" fillId="9" borderId="18" xfId="19" applyFont="1" applyFill="1" applyBorder="1" applyAlignment="1">
      <alignment horizontal="center"/>
    </xf>
    <xf numFmtId="171" fontId="14" fillId="3" borderId="20" xfId="19" applyNumberFormat="1" applyFont="1" applyFill="1" applyBorder="1"/>
    <xf numFmtId="171" fontId="47" fillId="0" borderId="24" xfId="19" applyNumberFormat="1" applyFont="1" applyBorder="1"/>
    <xf numFmtId="170" fontId="13" fillId="0" borderId="24" xfId="19" applyNumberFormat="1" applyFont="1" applyBorder="1"/>
    <xf numFmtId="172" fontId="13" fillId="0" borderId="24" xfId="19" applyNumberFormat="1" applyFont="1" applyBorder="1"/>
    <xf numFmtId="170" fontId="13" fillId="0" borderId="24" xfId="19" applyNumberFormat="1" applyFont="1" applyBorder="1" applyAlignment="1">
      <alignment horizontal="center"/>
    </xf>
    <xf numFmtId="0" fontId="48" fillId="0" borderId="24" xfId="19" applyFont="1" applyBorder="1"/>
    <xf numFmtId="0" fontId="13" fillId="0" borderId="20" xfId="19" applyFont="1" applyBorder="1" applyAlignment="1">
      <alignment horizontal="left"/>
    </xf>
    <xf numFmtId="14" fontId="8" fillId="9" borderId="0" xfId="19" applyNumberFormat="1" applyFill="1" applyAlignment="1">
      <alignment horizontal="center"/>
    </xf>
    <xf numFmtId="170" fontId="23" fillId="0" borderId="0" xfId="19" applyNumberFormat="1" applyFont="1" applyAlignment="1">
      <alignment horizontal="center"/>
    </xf>
    <xf numFmtId="0" fontId="35" fillId="0" borderId="0" xfId="19" applyFont="1" applyAlignment="1">
      <alignment horizontal="left"/>
    </xf>
    <xf numFmtId="170" fontId="38" fillId="0" borderId="20" xfId="19" applyNumberFormat="1" applyFont="1" applyBorder="1" applyAlignment="1">
      <alignment horizontal="center"/>
    </xf>
    <xf numFmtId="170" fontId="23" fillId="0" borderId="18" xfId="19" applyNumberFormat="1" applyFont="1" applyBorder="1" applyAlignment="1">
      <alignment horizontal="center"/>
    </xf>
    <xf numFmtId="170" fontId="8" fillId="3" borderId="18" xfId="19" applyNumberFormat="1" applyFill="1" applyBorder="1" applyAlignment="1">
      <alignment horizontal="center"/>
    </xf>
    <xf numFmtId="0" fontId="44" fillId="0" borderId="20" xfId="19" quotePrefix="1" applyFont="1" applyBorder="1"/>
    <xf numFmtId="9" fontId="11" fillId="0" borderId="0" xfId="44" applyFont="1" applyFill="1"/>
    <xf numFmtId="0" fontId="24" fillId="0" borderId="1" xfId="0" applyFont="1" applyBorder="1" applyAlignment="1">
      <alignment horizontal="center" wrapText="1"/>
    </xf>
    <xf numFmtId="37" fontId="23" fillId="0" borderId="0" xfId="0" quotePrefix="1" applyNumberFormat="1" applyFont="1"/>
    <xf numFmtId="165" fontId="24" fillId="0" borderId="2" xfId="0" applyNumberFormat="1" applyFont="1" applyBorder="1" applyAlignment="1">
      <alignment horizontal="right" wrapText="1"/>
    </xf>
    <xf numFmtId="0" fontId="9" fillId="9" borderId="20" xfId="17" applyFill="1" applyBorder="1" applyAlignment="1">
      <alignment horizontal="left"/>
    </xf>
    <xf numFmtId="0" fontId="23" fillId="9" borderId="20" xfId="19" applyFont="1" applyFill="1" applyBorder="1" applyAlignment="1">
      <alignment horizontal="left"/>
    </xf>
    <xf numFmtId="171" fontId="11" fillId="9" borderId="20" xfId="18" applyNumberFormat="1" applyFont="1" applyFill="1" applyBorder="1" applyAlignment="1">
      <alignment horizontal="center"/>
    </xf>
    <xf numFmtId="0" fontId="9" fillId="9" borderId="20" xfId="17" applyFill="1" applyBorder="1" applyAlignment="1">
      <alignment horizontal="center"/>
    </xf>
    <xf numFmtId="0" fontId="23" fillId="9" borderId="20" xfId="17" applyFont="1" applyFill="1" applyBorder="1" applyAlignment="1">
      <alignment horizontal="center"/>
    </xf>
    <xf numFmtId="0" fontId="0" fillId="9" borderId="20" xfId="18" applyNumberFormat="1" applyFont="1" applyFill="1" applyBorder="1" applyAlignment="1">
      <alignment horizontal="left"/>
    </xf>
    <xf numFmtId="0" fontId="0" fillId="9" borderId="20" xfId="18" applyNumberFormat="1" applyFont="1" applyFill="1" applyBorder="1"/>
    <xf numFmtId="0" fontId="31" fillId="9" borderId="20" xfId="17" applyFont="1" applyFill="1" applyBorder="1" applyAlignment="1">
      <alignment horizontal="left"/>
    </xf>
    <xf numFmtId="0" fontId="20" fillId="9" borderId="20" xfId="19" applyFont="1" applyFill="1" applyBorder="1" applyAlignment="1">
      <alignment horizontal="left"/>
    </xf>
    <xf numFmtId="170" fontId="36" fillId="0" borderId="20" xfId="19" applyNumberFormat="1" applyFont="1" applyBorder="1" applyAlignment="1">
      <alignment horizontal="center"/>
    </xf>
    <xf numFmtId="44" fontId="0" fillId="0" borderId="20" xfId="92" applyFont="1" applyFill="1" applyBorder="1"/>
    <xf numFmtId="0" fontId="30" fillId="0" borderId="24" xfId="19" quotePrefix="1" applyFont="1" applyBorder="1"/>
    <xf numFmtId="170" fontId="8" fillId="3" borderId="18" xfId="19" applyNumberFormat="1" applyFill="1" applyBorder="1"/>
    <xf numFmtId="172" fontId="8" fillId="3" borderId="18" xfId="19" applyNumberFormat="1" applyFill="1" applyBorder="1"/>
    <xf numFmtId="0" fontId="14" fillId="0" borderId="16" xfId="19" applyFont="1" applyBorder="1"/>
    <xf numFmtId="170" fontId="50" fillId="0" borderId="16" xfId="19" applyNumberFormat="1" applyFont="1" applyBorder="1" applyAlignment="1">
      <alignment horizontal="center"/>
    </xf>
    <xf numFmtId="0" fontId="31" fillId="0" borderId="16" xfId="19" quotePrefix="1" applyFont="1" applyBorder="1"/>
    <xf numFmtId="171" fontId="44" fillId="0" borderId="20" xfId="19" applyNumberFormat="1" applyFont="1" applyBorder="1" applyAlignment="1">
      <alignment horizontal="left"/>
    </xf>
    <xf numFmtId="171" fontId="37" fillId="0" borderId="20" xfId="19" applyNumberFormat="1" applyFont="1" applyBorder="1" applyAlignment="1">
      <alignment horizontal="left"/>
    </xf>
    <xf numFmtId="0" fontId="14" fillId="13" borderId="0" xfId="19" applyFont="1" applyFill="1"/>
    <xf numFmtId="170" fontId="8" fillId="13" borderId="0" xfId="19" applyNumberFormat="1" applyFill="1"/>
    <xf numFmtId="0" fontId="8" fillId="13" borderId="0" xfId="19" applyFill="1" applyAlignment="1">
      <alignment horizontal="center"/>
    </xf>
    <xf numFmtId="0" fontId="8" fillId="13" borderId="0" xfId="19" applyFill="1"/>
    <xf numFmtId="172" fontId="8" fillId="13" borderId="0" xfId="19" applyNumberFormat="1" applyFill="1"/>
    <xf numFmtId="171" fontId="8" fillId="13" borderId="0" xfId="19" applyNumberFormat="1" applyFill="1" applyAlignment="1">
      <alignment horizontal="center"/>
    </xf>
    <xf numFmtId="0" fontId="30" fillId="0" borderId="18" xfId="19" applyFont="1" applyBorder="1"/>
    <xf numFmtId="0" fontId="14" fillId="0" borderId="26" xfId="19" applyFont="1" applyBorder="1"/>
    <xf numFmtId="170" fontId="8" fillId="0" borderId="26" xfId="19" applyNumberFormat="1" applyBorder="1"/>
    <xf numFmtId="170" fontId="8" fillId="0" borderId="13" xfId="19" applyNumberFormat="1" applyBorder="1"/>
    <xf numFmtId="172" fontId="8" fillId="0" borderId="26" xfId="19" applyNumberFormat="1" applyBorder="1"/>
    <xf numFmtId="0" fontId="30" fillId="0" borderId="26" xfId="19" quotePrefix="1" applyFont="1" applyBorder="1"/>
    <xf numFmtId="169" fontId="22" fillId="9" borderId="3" xfId="10" applyNumberFormat="1" applyFont="1" applyFill="1" applyBorder="1" applyAlignment="1">
      <alignment horizontal="center" wrapText="1"/>
    </xf>
    <xf numFmtId="0" fontId="22" fillId="9" borderId="14" xfId="10" applyFont="1" applyFill="1" applyBorder="1"/>
    <xf numFmtId="0" fontId="22" fillId="9" borderId="15" xfId="10" applyFont="1" applyFill="1" applyBorder="1"/>
    <xf numFmtId="14" fontId="22" fillId="9" borderId="16" xfId="10" applyNumberFormat="1" applyFont="1" applyFill="1" applyBorder="1"/>
    <xf numFmtId="0" fontId="22" fillId="9" borderId="17" xfId="10" applyFont="1" applyFill="1" applyBorder="1"/>
    <xf numFmtId="169" fontId="22" fillId="9" borderId="14" xfId="10" applyNumberFormat="1" applyFont="1" applyFill="1" applyBorder="1" applyAlignment="1">
      <alignment horizontal="center"/>
    </xf>
    <xf numFmtId="171" fontId="14" fillId="0" borderId="20" xfId="21" applyNumberFormat="1" applyFont="1" applyBorder="1"/>
    <xf numFmtId="14" fontId="23" fillId="0" borderId="20" xfId="21" applyNumberFormat="1" applyFont="1" applyBorder="1"/>
    <xf numFmtId="166" fontId="23" fillId="0" borderId="21" xfId="9" applyNumberFormat="1" applyFont="1" applyFill="1" applyBorder="1"/>
    <xf numFmtId="43" fontId="11" fillId="0" borderId="0" xfId="9" applyFont="1" applyFill="1"/>
    <xf numFmtId="166" fontId="23" fillId="0" borderId="19" xfId="9" applyNumberFormat="1" applyFont="1" applyFill="1" applyBorder="1" applyAlignment="1">
      <alignment horizontal="right"/>
    </xf>
    <xf numFmtId="0" fontId="22" fillId="0" borderId="20" xfId="21" applyFont="1" applyBorder="1"/>
    <xf numFmtId="166" fontId="23" fillId="0" borderId="21" xfId="9" applyNumberFormat="1" applyFont="1" applyFill="1" applyBorder="1" applyAlignment="1">
      <alignment horizontal="right"/>
    </xf>
    <xf numFmtId="166" fontId="23" fillId="0" borderId="20" xfId="9" applyNumberFormat="1" applyFont="1" applyFill="1" applyBorder="1"/>
    <xf numFmtId="43" fontId="24" fillId="0" borderId="0" xfId="9" applyFont="1" applyFill="1"/>
    <xf numFmtId="0" fontId="14" fillId="0" borderId="20" xfId="21" applyFont="1" applyBorder="1" applyAlignment="1">
      <alignment horizontal="left"/>
    </xf>
    <xf numFmtId="14" fontId="2" fillId="0" borderId="20" xfId="21" applyNumberFormat="1" applyFont="1" applyBorder="1"/>
    <xf numFmtId="43" fontId="23" fillId="0" borderId="0" xfId="9" applyFont="1" applyFill="1"/>
    <xf numFmtId="43" fontId="2" fillId="0" borderId="0" xfId="1" applyFont="1"/>
    <xf numFmtId="43" fontId="2" fillId="0" borderId="0" xfId="83" applyFont="1"/>
    <xf numFmtId="0" fontId="14" fillId="0" borderId="0" xfId="21" applyFont="1"/>
    <xf numFmtId="14" fontId="23" fillId="0" borderId="0" xfId="21" applyNumberFormat="1" applyFont="1"/>
    <xf numFmtId="166" fontId="23" fillId="0" borderId="0" xfId="9" applyNumberFormat="1" applyFont="1" applyFill="1" applyBorder="1"/>
    <xf numFmtId="0" fontId="14" fillId="0" borderId="4" xfId="21" applyFont="1" applyBorder="1"/>
    <xf numFmtId="0" fontId="2" fillId="0" borderId="20" xfId="19" applyFont="1" applyBorder="1"/>
    <xf numFmtId="44" fontId="2" fillId="0" borderId="20" xfId="87" applyFont="1" applyFill="1" applyBorder="1"/>
    <xf numFmtId="43" fontId="2" fillId="0" borderId="20" xfId="83" applyFont="1" applyFill="1" applyBorder="1"/>
    <xf numFmtId="170" fontId="2" fillId="0" borderId="0" xfId="19" applyNumberFormat="1" applyFont="1" applyAlignment="1">
      <alignment horizontal="left"/>
    </xf>
    <xf numFmtId="170" fontId="2" fillId="0" borderId="20" xfId="19" applyNumberFormat="1" applyFont="1" applyBorder="1" applyAlignment="1">
      <alignment horizontal="center"/>
    </xf>
    <xf numFmtId="49" fontId="2" fillId="0" borderId="20" xfId="19" applyNumberFormat="1" applyFont="1" applyBorder="1"/>
    <xf numFmtId="0" fontId="2" fillId="0" borderId="20" xfId="19" quotePrefix="1" applyFont="1" applyBorder="1"/>
    <xf numFmtId="171" fontId="2" fillId="0" borderId="20" xfId="19" applyNumberFormat="1" applyFont="1" applyBorder="1"/>
    <xf numFmtId="171" fontId="2" fillId="0" borderId="20" xfId="19" quotePrefix="1" applyNumberFormat="1" applyFont="1" applyBorder="1"/>
    <xf numFmtId="170" fontId="2" fillId="0" borderId="18" xfId="19" applyNumberFormat="1" applyFont="1" applyBorder="1" applyAlignment="1">
      <alignment horizontal="center"/>
    </xf>
    <xf numFmtId="172" fontId="2" fillId="0" borderId="20" xfId="19" applyNumberFormat="1" applyFont="1" applyBorder="1"/>
    <xf numFmtId="0" fontId="2" fillId="0" borderId="0" xfId="19" applyFont="1"/>
    <xf numFmtId="170" fontId="23" fillId="0" borderId="26" xfId="19" applyNumberFormat="1" applyFont="1" applyBorder="1" applyAlignment="1">
      <alignment horizontal="center"/>
    </xf>
    <xf numFmtId="44" fontId="2" fillId="0" borderId="26" xfId="87" applyFont="1" applyFill="1" applyBorder="1"/>
    <xf numFmtId="43" fontId="2" fillId="0" borderId="26" xfId="83" applyFont="1" applyFill="1" applyBorder="1"/>
    <xf numFmtId="9" fontId="2" fillId="0" borderId="1" xfId="89" applyFont="1" applyBorder="1" applyAlignment="1">
      <alignment horizontal="center"/>
    </xf>
    <xf numFmtId="0" fontId="2" fillId="13" borderId="0" xfId="19" applyFont="1" applyFill="1"/>
    <xf numFmtId="170" fontId="2" fillId="0" borderId="20" xfId="19" applyNumberFormat="1" applyFont="1" applyBorder="1"/>
    <xf numFmtId="170" fontId="8" fillId="3" borderId="20" xfId="19" applyNumberFormat="1" applyFill="1" applyBorder="1"/>
    <xf numFmtId="172" fontId="8" fillId="3" borderId="20" xfId="19" applyNumberFormat="1" applyFill="1" applyBorder="1"/>
    <xf numFmtId="170" fontId="8" fillId="3" borderId="20" xfId="19" applyNumberFormat="1" applyFill="1" applyBorder="1" applyAlignment="1">
      <alignment horizontal="center"/>
    </xf>
    <xf numFmtId="170" fontId="23" fillId="3" borderId="20" xfId="19" applyNumberFormat="1" applyFont="1" applyFill="1" applyBorder="1" applyAlignment="1">
      <alignment horizontal="center"/>
    </xf>
    <xf numFmtId="0" fontId="2" fillId="3" borderId="20" xfId="19" quotePrefix="1" applyFont="1" applyFill="1" applyBorder="1"/>
    <xf numFmtId="0" fontId="2" fillId="0" borderId="20" xfId="19" applyFont="1" applyBorder="1" applyAlignment="1">
      <alignment horizontal="left"/>
    </xf>
    <xf numFmtId="9" fontId="2" fillId="0" borderId="0" xfId="89" applyFont="1" applyAlignment="1">
      <alignment horizontal="center"/>
    </xf>
    <xf numFmtId="171" fontId="14" fillId="0" borderId="25" xfId="19" applyNumberFormat="1" applyFont="1" applyBorder="1"/>
    <xf numFmtId="170" fontId="49" fillId="0" borderId="25" xfId="19" applyNumberFormat="1" applyFont="1" applyBorder="1" applyAlignment="1">
      <alignment horizontal="center"/>
    </xf>
    <xf numFmtId="0" fontId="2" fillId="9" borderId="20" xfId="19" applyFont="1" applyFill="1" applyBorder="1"/>
    <xf numFmtId="171" fontId="2" fillId="9" borderId="20" xfId="17" applyNumberFormat="1" applyFont="1" applyFill="1" applyBorder="1" applyAlignment="1">
      <alignment horizontal="center"/>
    </xf>
    <xf numFmtId="0" fontId="2" fillId="9" borderId="20" xfId="17" applyFont="1" applyFill="1" applyBorder="1"/>
    <xf numFmtId="170" fontId="2" fillId="9" borderId="20" xfId="17" quotePrefix="1" applyNumberFormat="1" applyFont="1" applyFill="1" applyBorder="1" applyAlignment="1">
      <alignment horizontal="right"/>
    </xf>
    <xf numFmtId="170" fontId="2" fillId="9" borderId="20" xfId="17" applyNumberFormat="1" applyFont="1" applyFill="1" applyBorder="1" applyAlignment="1">
      <alignment horizontal="right" wrapText="1"/>
    </xf>
    <xf numFmtId="0" fontId="2" fillId="9" borderId="20" xfId="17" applyFont="1" applyFill="1" applyBorder="1" applyAlignment="1">
      <alignment horizontal="center"/>
    </xf>
    <xf numFmtId="0" fontId="2" fillId="9" borderId="20" xfId="17" applyFont="1" applyFill="1" applyBorder="1" applyAlignment="1">
      <alignment horizontal="left"/>
    </xf>
    <xf numFmtId="0" fontId="2" fillId="0" borderId="20" xfId="17" applyFont="1" applyBorder="1" applyAlignment="1">
      <alignment horizontal="left"/>
    </xf>
    <xf numFmtId="170" fontId="2" fillId="0" borderId="20" xfId="17" quotePrefix="1" applyNumberFormat="1" applyFont="1" applyBorder="1" applyAlignment="1">
      <alignment horizontal="right"/>
    </xf>
    <xf numFmtId="0" fontId="2" fillId="0" borderId="20" xfId="17" applyFont="1" applyBorder="1" applyAlignment="1">
      <alignment horizontal="center"/>
    </xf>
    <xf numFmtId="43" fontId="2" fillId="0" borderId="0" xfId="83" applyFont="1" applyFill="1"/>
    <xf numFmtId="14" fontId="2" fillId="0" borderId="0" xfId="19" applyNumberFormat="1" applyFont="1"/>
    <xf numFmtId="43" fontId="2" fillId="0" borderId="0" xfId="20" applyFont="1" applyFill="1" applyBorder="1"/>
    <xf numFmtId="43" fontId="2" fillId="0" borderId="0" xfId="83" applyFont="1" applyFill="1" applyBorder="1"/>
    <xf numFmtId="170" fontId="2" fillId="0" borderId="0" xfId="19" applyNumberFormat="1" applyFont="1"/>
    <xf numFmtId="0" fontId="2" fillId="0" borderId="0" xfId="19" applyFont="1" applyAlignment="1">
      <alignment horizontal="left"/>
    </xf>
    <xf numFmtId="170" fontId="2" fillId="0" borderId="0" xfId="19" applyNumberFormat="1" applyFont="1" applyAlignment="1">
      <alignment horizontal="center"/>
    </xf>
    <xf numFmtId="170" fontId="2" fillId="0" borderId="0" xfId="19" quotePrefix="1" applyNumberFormat="1" applyFont="1" applyAlignment="1">
      <alignment horizontal="center"/>
    </xf>
    <xf numFmtId="171" fontId="2" fillId="0" borderId="0" xfId="17" applyNumberFormat="1" applyFont="1" applyAlignment="1">
      <alignment horizontal="center" wrapText="1"/>
    </xf>
    <xf numFmtId="0" fontId="31" fillId="0" borderId="20" xfId="17" applyFont="1" applyBorder="1" applyAlignment="1">
      <alignment horizontal="left"/>
    </xf>
    <xf numFmtId="170" fontId="14" fillId="0" borderId="0" xfId="19" quotePrefix="1" applyNumberFormat="1" applyFont="1" applyAlignment="1">
      <alignment horizontal="right"/>
    </xf>
    <xf numFmtId="170" fontId="14" fillId="0" borderId="0" xfId="17" quotePrefix="1" applyNumberFormat="1" applyFont="1" applyAlignment="1">
      <alignment horizontal="right"/>
    </xf>
    <xf numFmtId="0" fontId="51" fillId="0" borderId="0" xfId="84" applyFont="1"/>
    <xf numFmtId="14" fontId="51" fillId="0" borderId="0" xfId="84" applyNumberFormat="1" applyFont="1"/>
    <xf numFmtId="0" fontId="2" fillId="0" borderId="0" xfId="84" applyFont="1"/>
    <xf numFmtId="0" fontId="2" fillId="0" borderId="0" xfId="21" applyFont="1"/>
    <xf numFmtId="171" fontId="2" fillId="0" borderId="0" xfId="21" applyNumberFormat="1" applyFont="1"/>
    <xf numFmtId="0" fontId="14" fillId="0" borderId="0" xfId="8" applyFont="1"/>
    <xf numFmtId="14" fontId="2" fillId="0" borderId="0" xfId="84" applyNumberFormat="1" applyFont="1"/>
    <xf numFmtId="0" fontId="53" fillId="0" borderId="0" xfId="84" applyFont="1"/>
    <xf numFmtId="14" fontId="2" fillId="0" borderId="0" xfId="21" applyNumberFormat="1" applyFont="1"/>
    <xf numFmtId="43" fontId="2" fillId="0" borderId="0" xfId="21" applyNumberFormat="1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right" wrapText="1"/>
    </xf>
    <xf numFmtId="165" fontId="24" fillId="0" borderId="0" xfId="0" applyNumberFormat="1" applyFont="1" applyAlignment="1">
      <alignment horizontal="right" wrapText="1"/>
    </xf>
    <xf numFmtId="0" fontId="24" fillId="0" borderId="0" xfId="0" applyFont="1"/>
    <xf numFmtId="0" fontId="24" fillId="0" borderId="32" xfId="0" applyFont="1" applyBorder="1" applyAlignment="1">
      <alignment horizontal="center" wrapText="1"/>
    </xf>
    <xf numFmtId="0" fontId="24" fillId="0" borderId="33" xfId="0" applyFont="1" applyBorder="1" applyAlignment="1">
      <alignment horizontal="center" wrapText="1"/>
    </xf>
    <xf numFmtId="0" fontId="24" fillId="9" borderId="32" xfId="0" applyFont="1" applyFill="1" applyBorder="1" applyAlignment="1">
      <alignment horizontal="center" wrapText="1"/>
    </xf>
    <xf numFmtId="0" fontId="24" fillId="9" borderId="1" xfId="0" applyFont="1" applyFill="1" applyBorder="1" applyAlignment="1">
      <alignment horizontal="center" wrapText="1"/>
    </xf>
    <xf numFmtId="0" fontId="24" fillId="9" borderId="33" xfId="0" applyFont="1" applyFill="1" applyBorder="1" applyAlignment="1">
      <alignment horizontal="center" wrapText="1"/>
    </xf>
    <xf numFmtId="10" fontId="24" fillId="0" borderId="2" xfId="0" applyNumberFormat="1" applyFont="1" applyBorder="1" applyAlignment="1">
      <alignment horizontal="right" wrapText="1"/>
    </xf>
    <xf numFmtId="165" fontId="24" fillId="0" borderId="34" xfId="0" applyNumberFormat="1" applyFont="1" applyBorder="1" applyAlignment="1">
      <alignment horizontal="right" wrapText="1"/>
    </xf>
    <xf numFmtId="165" fontId="24" fillId="9" borderId="34" xfId="0" applyNumberFormat="1" applyFont="1" applyFill="1" applyBorder="1" applyAlignment="1">
      <alignment horizontal="right" wrapText="1"/>
    </xf>
    <xf numFmtId="165" fontId="24" fillId="9" borderId="2" xfId="0" applyNumberFormat="1" applyFont="1" applyFill="1" applyBorder="1" applyAlignment="1">
      <alignment horizontal="right" wrapText="1"/>
    </xf>
    <xf numFmtId="10" fontId="24" fillId="9" borderId="9" xfId="0" applyNumberFormat="1" applyFont="1" applyFill="1" applyBorder="1" applyAlignment="1">
      <alignment horizontal="right" wrapText="1"/>
    </xf>
    <xf numFmtId="165" fontId="24" fillId="0" borderId="35" xfId="0" applyNumberFormat="1" applyFont="1" applyBorder="1" applyAlignment="1">
      <alignment horizontal="right" wrapText="1"/>
    </xf>
    <xf numFmtId="165" fontId="24" fillId="0" borderId="29" xfId="0" applyNumberFormat="1" applyFont="1" applyBorder="1" applyAlignment="1">
      <alignment horizontal="right" wrapText="1"/>
    </xf>
    <xf numFmtId="165" fontId="24" fillId="9" borderId="35" xfId="0" applyNumberFormat="1" applyFont="1" applyFill="1" applyBorder="1" applyAlignment="1">
      <alignment horizontal="right" wrapText="1"/>
    </xf>
    <xf numFmtId="165" fontId="24" fillId="9" borderId="29" xfId="0" applyNumberFormat="1" applyFont="1" applyFill="1" applyBorder="1" applyAlignment="1">
      <alignment horizontal="right" wrapText="1"/>
    </xf>
    <xf numFmtId="10" fontId="24" fillId="9" borderId="28" xfId="0" applyNumberFormat="1" applyFont="1" applyFill="1" applyBorder="1" applyAlignment="1">
      <alignment horizontal="right" wrapText="1"/>
    </xf>
    <xf numFmtId="44" fontId="0" fillId="0" borderId="0" xfId="0" applyNumberFormat="1"/>
    <xf numFmtId="0" fontId="30" fillId="9" borderId="20" xfId="17" applyFont="1" applyFill="1" applyBorder="1" applyAlignment="1">
      <alignment horizontal="left"/>
    </xf>
    <xf numFmtId="0" fontId="14" fillId="3" borderId="36" xfId="19" applyFont="1" applyFill="1" applyBorder="1" applyAlignment="1">
      <alignment horizontal="center"/>
    </xf>
    <xf numFmtId="14" fontId="14" fillId="0" borderId="0" xfId="19" applyNumberFormat="1" applyFont="1" applyAlignment="1">
      <alignment horizontal="center"/>
    </xf>
    <xf numFmtId="170" fontId="14" fillId="0" borderId="0" xfId="19" applyNumberFormat="1" applyFont="1" applyAlignment="1">
      <alignment horizontal="right"/>
    </xf>
    <xf numFmtId="14" fontId="2" fillId="0" borderId="0" xfId="19" applyNumberFormat="1" applyFont="1" applyAlignment="1">
      <alignment horizontal="center"/>
    </xf>
    <xf numFmtId="0" fontId="23" fillId="11" borderId="0" xfId="19" applyFont="1" applyFill="1" applyAlignment="1">
      <alignment horizontal="center"/>
    </xf>
    <xf numFmtId="0" fontId="22" fillId="9" borderId="20" xfId="19" applyFont="1" applyFill="1" applyBorder="1" applyAlignment="1">
      <alignment horizontal="center"/>
    </xf>
    <xf numFmtId="170" fontId="23" fillId="3" borderId="18" xfId="19" applyNumberFormat="1" applyFont="1" applyFill="1" applyBorder="1" applyAlignment="1">
      <alignment horizontal="center"/>
    </xf>
    <xf numFmtId="0" fontId="2" fillId="3" borderId="20" xfId="19" applyFont="1" applyFill="1" applyBorder="1"/>
    <xf numFmtId="170" fontId="38" fillId="0" borderId="18" xfId="19" applyNumberFormat="1" applyFont="1" applyBorder="1" applyAlignment="1">
      <alignment horizontal="center"/>
    </xf>
    <xf numFmtId="44" fontId="2" fillId="0" borderId="20" xfId="19" applyNumberFormat="1" applyFont="1" applyBorder="1" applyAlignment="1">
      <alignment horizontal="left"/>
    </xf>
    <xf numFmtId="14" fontId="2" fillId="0" borderId="20" xfId="19" applyNumberFormat="1" applyFont="1" applyBorder="1"/>
    <xf numFmtId="0" fontId="2" fillId="3" borderId="20" xfId="19" applyFont="1" applyFill="1" applyBorder="1" applyAlignment="1">
      <alignment horizontal="left"/>
    </xf>
    <xf numFmtId="44" fontId="8" fillId="3" borderId="20" xfId="19" applyNumberFormat="1" applyFill="1" applyBorder="1" applyAlignment="1">
      <alignment horizontal="left"/>
    </xf>
    <xf numFmtId="0" fontId="30" fillId="3" borderId="20" xfId="19" applyFont="1" applyFill="1" applyBorder="1"/>
    <xf numFmtId="170" fontId="23" fillId="0" borderId="25" xfId="19" applyNumberFormat="1" applyFont="1" applyBorder="1" applyAlignment="1">
      <alignment horizontal="center"/>
    </xf>
    <xf numFmtId="0" fontId="34" fillId="0" borderId="25" xfId="19" applyFont="1" applyBorder="1"/>
    <xf numFmtId="170" fontId="22" fillId="0" borderId="20" xfId="19" applyNumberFormat="1" applyFont="1" applyBorder="1" applyAlignment="1">
      <alignment horizontal="center"/>
    </xf>
    <xf numFmtId="170" fontId="38" fillId="0" borderId="38" xfId="19" applyNumberFormat="1" applyFont="1" applyBorder="1" applyAlignment="1">
      <alignment horizontal="center"/>
    </xf>
    <xf numFmtId="170" fontId="23" fillId="0" borderId="1" xfId="19" applyNumberFormat="1" applyFont="1" applyBorder="1" applyAlignment="1">
      <alignment horizontal="center"/>
    </xf>
    <xf numFmtId="0" fontId="23" fillId="13" borderId="0" xfId="19" applyFont="1" applyFill="1" applyAlignment="1">
      <alignment horizontal="center"/>
    </xf>
    <xf numFmtId="0" fontId="2" fillId="0" borderId="22" xfId="19" applyFont="1" applyBorder="1"/>
    <xf numFmtId="171" fontId="23" fillId="13" borderId="0" xfId="19" applyNumberFormat="1" applyFont="1" applyFill="1" applyAlignment="1">
      <alignment horizontal="center"/>
    </xf>
    <xf numFmtId="170" fontId="23" fillId="0" borderId="38" xfId="19" applyNumberFormat="1" applyFont="1" applyBorder="1" applyAlignment="1">
      <alignment horizontal="center"/>
    </xf>
    <xf numFmtId="0" fontId="23" fillId="0" borderId="0" xfId="19" applyFont="1" applyAlignment="1">
      <alignment horizontal="center"/>
    </xf>
    <xf numFmtId="170" fontId="23" fillId="7" borderId="20" xfId="19" applyNumberFormat="1" applyFont="1" applyFill="1" applyBorder="1" applyAlignment="1">
      <alignment horizontal="center"/>
    </xf>
    <xf numFmtId="171" fontId="23" fillId="0" borderId="0" xfId="19" applyNumberFormat="1" applyFont="1" applyAlignment="1">
      <alignment horizontal="center"/>
    </xf>
    <xf numFmtId="164" fontId="0" fillId="0" borderId="6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0" fontId="0" fillId="0" borderId="0" xfId="0" applyNumberFormat="1" applyAlignment="1">
      <alignment horizontal="right" wrapText="1"/>
    </xf>
    <xf numFmtId="164" fontId="0" fillId="0" borderId="6" xfId="0" applyNumberFormat="1" applyBorder="1" applyAlignment="1">
      <alignment horizontal="right" wrapText="1"/>
    </xf>
    <xf numFmtId="164" fontId="0" fillId="9" borderId="6" xfId="0" applyNumberFormat="1" applyFill="1" applyBorder="1" applyAlignment="1">
      <alignment wrapText="1"/>
    </xf>
    <xf numFmtId="164" fontId="0" fillId="9" borderId="0" xfId="0" applyNumberFormat="1" applyFill="1" applyAlignment="1">
      <alignment wrapText="1"/>
    </xf>
    <xf numFmtId="164" fontId="0" fillId="9" borderId="7" xfId="0" applyNumberFormat="1" applyFill="1" applyBorder="1" applyAlignment="1">
      <alignment wrapText="1"/>
    </xf>
    <xf numFmtId="164" fontId="0" fillId="9" borderId="6" xfId="0" applyNumberFormat="1" applyFill="1" applyBorder="1" applyAlignment="1">
      <alignment horizontal="right" wrapText="1"/>
    </xf>
    <xf numFmtId="164" fontId="0" fillId="9" borderId="0" xfId="0" applyNumberFormat="1" applyFill="1" applyAlignment="1">
      <alignment horizontal="right" wrapText="1"/>
    </xf>
    <xf numFmtId="10" fontId="0" fillId="9" borderId="7" xfId="0" applyNumberFormat="1" applyFill="1" applyBorder="1" applyAlignment="1">
      <alignment horizontal="right" wrapText="1"/>
    </xf>
    <xf numFmtId="0" fontId="0" fillId="0" borderId="0" xfId="0" applyAlignment="1">
      <alignment horizontal="left"/>
    </xf>
    <xf numFmtId="44" fontId="0" fillId="0" borderId="0" xfId="92" applyFont="1" applyAlignment="1">
      <alignment wrapText="1"/>
    </xf>
    <xf numFmtId="0" fontId="24" fillId="0" borderId="0" xfId="0" applyFont="1" applyAlignment="1">
      <alignment horizontal="left"/>
    </xf>
    <xf numFmtId="0" fontId="2" fillId="0" borderId="20" xfId="17" applyFont="1" applyBorder="1" applyAlignment="1">
      <alignment horizontal="center" wrapText="1"/>
    </xf>
    <xf numFmtId="0" fontId="52" fillId="0" borderId="20" xfId="17" applyFont="1" applyBorder="1" applyAlignment="1">
      <alignment horizontal="left"/>
    </xf>
    <xf numFmtId="170" fontId="14" fillId="0" borderId="20" xfId="17" quotePrefix="1" applyNumberFormat="1" applyFont="1" applyBorder="1" applyAlignment="1">
      <alignment horizontal="right"/>
    </xf>
    <xf numFmtId="171" fontId="11" fillId="0" borderId="20" xfId="18" applyNumberFormat="1" applyFont="1" applyFill="1" applyBorder="1" applyAlignment="1">
      <alignment horizontal="center"/>
    </xf>
    <xf numFmtId="0" fontId="23" fillId="0" borderId="20" xfId="19" applyFont="1" applyBorder="1" applyAlignment="1">
      <alignment horizontal="left" wrapText="1"/>
    </xf>
    <xf numFmtId="0" fontId="31" fillId="0" borderId="0" xfId="19" applyFont="1"/>
    <xf numFmtId="14" fontId="22" fillId="0" borderId="0" xfId="19" applyNumberFormat="1" applyFont="1" applyAlignment="1">
      <alignment horizontal="center"/>
    </xf>
    <xf numFmtId="0" fontId="2" fillId="0" borderId="0" xfId="19" applyFont="1" applyAlignment="1">
      <alignment wrapText="1"/>
    </xf>
    <xf numFmtId="14" fontId="2" fillId="0" borderId="0" xfId="19" applyNumberFormat="1" applyFont="1" applyAlignment="1">
      <alignment horizontal="left"/>
    </xf>
    <xf numFmtId="170" fontId="2" fillId="0" borderId="0" xfId="19" applyNumberFormat="1" applyFont="1" applyAlignment="1">
      <alignment horizontal="right"/>
    </xf>
    <xf numFmtId="170" fontId="35" fillId="0" borderId="0" xfId="19" quotePrefix="1" applyNumberFormat="1" applyFont="1" applyAlignment="1">
      <alignment horizontal="right"/>
    </xf>
    <xf numFmtId="0" fontId="30" fillId="0" borderId="18" xfId="19" quotePrefix="1" applyFont="1" applyBorder="1"/>
    <xf numFmtId="170" fontId="55" fillId="0" borderId="24" xfId="19" applyNumberFormat="1" applyFont="1" applyBorder="1" applyAlignment="1">
      <alignment horizontal="center"/>
    </xf>
    <xf numFmtId="0" fontId="30" fillId="0" borderId="25" xfId="19" quotePrefix="1" applyFont="1" applyBorder="1"/>
    <xf numFmtId="170" fontId="55" fillId="0" borderId="18" xfId="19" applyNumberFormat="1" applyFont="1" applyBorder="1" applyAlignment="1">
      <alignment horizontal="center"/>
    </xf>
    <xf numFmtId="49" fontId="2" fillId="12" borderId="20" xfId="19" applyNumberFormat="1" applyFont="1" applyFill="1" applyBorder="1"/>
    <xf numFmtId="0" fontId="14" fillId="0" borderId="13" xfId="21" applyFont="1" applyBorder="1"/>
    <xf numFmtId="172" fontId="8" fillId="0" borderId="13" xfId="19" applyNumberFormat="1" applyBorder="1"/>
    <xf numFmtId="170" fontId="8" fillId="0" borderId="13" xfId="19" applyNumberFormat="1" applyBorder="1" applyAlignment="1">
      <alignment horizontal="center"/>
    </xf>
    <xf numFmtId="170" fontId="38" fillId="0" borderId="13" xfId="19" applyNumberFormat="1" applyFont="1" applyBorder="1" applyAlignment="1">
      <alignment horizontal="center"/>
    </xf>
    <xf numFmtId="0" fontId="34" fillId="0" borderId="13" xfId="19" applyFont="1" applyBorder="1"/>
    <xf numFmtId="44" fontId="2" fillId="12" borderId="20" xfId="87" applyFont="1" applyFill="1" applyBorder="1"/>
    <xf numFmtId="0" fontId="31" fillId="0" borderId="24" xfId="19" applyFont="1" applyBorder="1" applyAlignment="1">
      <alignment wrapText="1"/>
    </xf>
    <xf numFmtId="0" fontId="44" fillId="0" borderId="20" xfId="20" applyNumberFormat="1" applyFont="1" applyFill="1" applyBorder="1" applyAlignment="1"/>
    <xf numFmtId="43" fontId="23" fillId="0" borderId="20" xfId="20" applyFont="1" applyFill="1" applyBorder="1" applyAlignment="1"/>
    <xf numFmtId="43" fontId="23" fillId="0" borderId="20" xfId="83" applyFont="1" applyFill="1" applyBorder="1"/>
    <xf numFmtId="0" fontId="49" fillId="0" borderId="0" xfId="19" applyFont="1"/>
    <xf numFmtId="0" fontId="34" fillId="0" borderId="24" xfId="19" quotePrefix="1" applyFont="1" applyBorder="1"/>
    <xf numFmtId="44" fontId="23" fillId="0" borderId="20" xfId="87" applyFont="1" applyFill="1" applyBorder="1"/>
    <xf numFmtId="0" fontId="55" fillId="0" borderId="0" xfId="19" applyFont="1"/>
    <xf numFmtId="0" fontId="58" fillId="0" borderId="18" xfId="19" applyFont="1" applyBorder="1"/>
    <xf numFmtId="0" fontId="38" fillId="0" borderId="0" xfId="19" applyFont="1"/>
    <xf numFmtId="0" fontId="14" fillId="0" borderId="20" xfId="19" applyFont="1" applyBorder="1" applyAlignment="1">
      <alignment horizontal="center"/>
    </xf>
    <xf numFmtId="0" fontId="14" fillId="0" borderId="22" xfId="19" applyFont="1" applyBorder="1" applyAlignment="1">
      <alignment horizontal="center"/>
    </xf>
    <xf numFmtId="0" fontId="23" fillId="3" borderId="20" xfId="19" applyFont="1" applyFill="1" applyBorder="1"/>
    <xf numFmtId="0" fontId="2" fillId="3" borderId="22" xfId="19" applyFont="1" applyFill="1" applyBorder="1"/>
    <xf numFmtId="171" fontId="23" fillId="3" borderId="20" xfId="19" applyNumberFormat="1" applyFont="1" applyFill="1" applyBorder="1" applyAlignment="1">
      <alignment horizontal="right"/>
    </xf>
    <xf numFmtId="0" fontId="59" fillId="0" borderId="0" xfId="19" applyFont="1"/>
    <xf numFmtId="0" fontId="23" fillId="0" borderId="18" xfId="19" applyFont="1" applyBorder="1"/>
    <xf numFmtId="171" fontId="23" fillId="0" borderId="18" xfId="19" applyNumberFormat="1" applyFont="1" applyBorder="1" applyAlignment="1">
      <alignment horizontal="right"/>
    </xf>
    <xf numFmtId="171" fontId="44" fillId="0" borderId="18" xfId="19" applyNumberFormat="1" applyFont="1" applyBorder="1" applyAlignment="1">
      <alignment horizontal="left"/>
    </xf>
    <xf numFmtId="0" fontId="36" fillId="0" borderId="0" xfId="0" applyFont="1" applyAlignment="1">
      <alignment vertical="center" wrapText="1"/>
    </xf>
    <xf numFmtId="14" fontId="8" fillId="0" borderId="20" xfId="21" applyNumberFormat="1" applyBorder="1"/>
    <xf numFmtId="166" fontId="0" fillId="0" borderId="21" xfId="9" applyNumberFormat="1" applyFont="1" applyFill="1" applyBorder="1" applyAlignment="1">
      <alignment horizontal="right"/>
    </xf>
    <xf numFmtId="166" fontId="0" fillId="0" borderId="20" xfId="9" applyNumberFormat="1" applyFont="1" applyFill="1" applyBorder="1"/>
    <xf numFmtId="43" fontId="0" fillId="0" borderId="0" xfId="9" applyFont="1" applyFill="1"/>
    <xf numFmtId="171" fontId="8" fillId="0" borderId="0" xfId="21" applyNumberFormat="1"/>
    <xf numFmtId="14" fontId="8" fillId="0" borderId="18" xfId="21" applyNumberFormat="1" applyBorder="1"/>
    <xf numFmtId="166" fontId="0" fillId="0" borderId="18" xfId="9" applyNumberFormat="1" applyFont="1" applyFill="1" applyBorder="1"/>
    <xf numFmtId="0" fontId="8" fillId="0" borderId="0" xfId="21"/>
    <xf numFmtId="166" fontId="0" fillId="0" borderId="20" xfId="9" applyNumberFormat="1" applyFont="1" applyFill="1" applyBorder="1" applyAlignment="1">
      <alignment horizontal="right"/>
    </xf>
    <xf numFmtId="43" fontId="8" fillId="0" borderId="0" xfId="21" applyNumberFormat="1"/>
    <xf numFmtId="0" fontId="23" fillId="0" borderId="0" xfId="21" applyFont="1"/>
    <xf numFmtId="166" fontId="8" fillId="0" borderId="0" xfId="21" applyNumberFormat="1"/>
    <xf numFmtId="166" fontId="0" fillId="0" borderId="0" xfId="9" applyNumberFormat="1" applyFont="1" applyFill="1" applyBorder="1"/>
    <xf numFmtId="14" fontId="8" fillId="0" borderId="4" xfId="21" applyNumberFormat="1" applyBorder="1"/>
    <xf numFmtId="43" fontId="0" fillId="0" borderId="4" xfId="9" applyFont="1" applyFill="1" applyBorder="1"/>
    <xf numFmtId="171" fontId="0" fillId="0" borderId="4" xfId="9" applyNumberFormat="1" applyFont="1" applyFill="1" applyBorder="1"/>
    <xf numFmtId="49" fontId="20" fillId="0" borderId="6" xfId="3" applyNumberFormat="1" applyFont="1" applyBorder="1" applyAlignment="1">
      <alignment horizontal="left" indent="1"/>
    </xf>
    <xf numFmtId="49" fontId="20" fillId="0" borderId="0" xfId="3" applyNumberFormat="1" applyFont="1" applyAlignment="1">
      <alignment horizontal="left" indent="1"/>
    </xf>
    <xf numFmtId="49" fontId="18" fillId="0" borderId="6" xfId="3" applyNumberFormat="1" applyFont="1" applyBorder="1"/>
    <xf numFmtId="49" fontId="18" fillId="0" borderId="0" xfId="3" applyNumberFormat="1" applyFont="1"/>
    <xf numFmtId="0" fontId="15" fillId="0" borderId="0" xfId="3" applyFont="1" applyAlignment="1">
      <alignment horizontal="center" vertical="top" wrapText="1"/>
    </xf>
    <xf numFmtId="0" fontId="16" fillId="0" borderId="0" xfId="4" applyFont="1" applyAlignment="1">
      <alignment horizontal="center"/>
    </xf>
    <xf numFmtId="0" fontId="11" fillId="0" borderId="0" xfId="4"/>
    <xf numFmtId="0" fontId="17" fillId="0" borderId="3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0" fontId="24" fillId="9" borderId="30" xfId="0" applyFont="1" applyFill="1" applyBorder="1" applyAlignment="1">
      <alignment horizontal="center" vertical="center"/>
    </xf>
    <xf numFmtId="0" fontId="24" fillId="9" borderId="41" xfId="0" applyFont="1" applyFill="1" applyBorder="1" applyAlignment="1">
      <alignment horizontal="center" vertical="center"/>
    </xf>
    <xf numFmtId="0" fontId="24" fillId="9" borderId="42" xfId="0" applyFont="1" applyFill="1" applyBorder="1" applyAlignment="1">
      <alignment horizontal="center" vertical="center"/>
    </xf>
    <xf numFmtId="169" fontId="22" fillId="9" borderId="3" xfId="10" applyNumberFormat="1" applyFont="1" applyFill="1" applyBorder="1" applyAlignment="1">
      <alignment horizontal="center" wrapText="1"/>
    </xf>
    <xf numFmtId="169" fontId="22" fillId="9" borderId="4" xfId="10" applyNumberFormat="1" applyFont="1" applyFill="1" applyBorder="1" applyAlignment="1">
      <alignment horizontal="center" wrapText="1"/>
    </xf>
    <xf numFmtId="169" fontId="22" fillId="9" borderId="5" xfId="10" applyNumberFormat="1" applyFont="1" applyFill="1" applyBorder="1" applyAlignment="1">
      <alignment horizontal="center" wrapText="1"/>
    </xf>
    <xf numFmtId="0" fontId="19" fillId="0" borderId="21" xfId="19" applyFont="1" applyBorder="1"/>
    <xf numFmtId="0" fontId="19" fillId="0" borderId="40" xfId="19" applyFont="1" applyBorder="1"/>
    <xf numFmtId="0" fontId="19" fillId="0" borderId="22" xfId="19" applyFont="1" applyBorder="1"/>
    <xf numFmtId="0" fontId="9" fillId="5" borderId="26" xfId="17" applyFill="1" applyBorder="1" applyAlignment="1">
      <alignment horizontal="left" vertical="center" wrapText="1"/>
    </xf>
    <xf numFmtId="0" fontId="9" fillId="5" borderId="18" xfId="17" applyFill="1" applyBorder="1" applyAlignment="1">
      <alignment horizontal="left" vertical="center" wrapText="1"/>
    </xf>
    <xf numFmtId="167" fontId="9" fillId="5" borderId="26" xfId="17" applyNumberFormat="1" applyFill="1" applyBorder="1" applyAlignment="1">
      <alignment horizontal="right" vertical="center"/>
    </xf>
    <xf numFmtId="167" fontId="9" fillId="5" borderId="18" xfId="17" applyNumberFormat="1" applyFill="1" applyBorder="1" applyAlignment="1">
      <alignment horizontal="right" vertical="center"/>
    </xf>
    <xf numFmtId="0" fontId="9" fillId="5" borderId="26" xfId="17" applyFill="1" applyBorder="1" applyAlignment="1">
      <alignment horizontal="left" vertical="center"/>
    </xf>
    <xf numFmtId="0" fontId="9" fillId="5" borderId="18" xfId="17" applyFill="1" applyBorder="1" applyAlignment="1">
      <alignment horizontal="left" vertical="center"/>
    </xf>
    <xf numFmtId="0" fontId="33" fillId="0" borderId="0" xfId="0" applyFont="1" applyAlignment="1">
      <alignment horizontal="center"/>
    </xf>
    <xf numFmtId="0" fontId="54" fillId="0" borderId="0" xfId="0" applyFont="1"/>
    <xf numFmtId="0" fontId="24" fillId="0" borderId="0" xfId="0" applyFont="1" applyAlignment="1">
      <alignment horizontal="center"/>
    </xf>
    <xf numFmtId="0" fontId="0" fillId="0" borderId="0" xfId="0"/>
    <xf numFmtId="0" fontId="56" fillId="0" borderId="0" xfId="0" applyFont="1" applyAlignment="1">
      <alignment horizontal="center"/>
    </xf>
    <xf numFmtId="0" fontId="57" fillId="0" borderId="0" xfId="0" applyFont="1"/>
    <xf numFmtId="0" fontId="2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4" fillId="9" borderId="30" xfId="0" applyFont="1" applyFill="1" applyBorder="1" applyAlignment="1">
      <alignment horizontal="center" wrapText="1"/>
    </xf>
    <xf numFmtId="0" fontId="0" fillId="9" borderId="31" xfId="0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24" fillId="0" borderId="30" xfId="0" applyFont="1" applyBorder="1" applyAlignment="1">
      <alignment horizontal="center" wrapText="1"/>
    </xf>
    <xf numFmtId="0" fontId="0" fillId="0" borderId="31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0" xfId="3" applyFont="1"/>
  </cellXfs>
  <cellStyles count="93">
    <cellStyle name="Bad 2" xfId="10" xr:uid="{00040861-9F0F-44A6-8CC0-D810D3325B71}"/>
    <cellStyle name="Comma" xfId="1" builtinId="3"/>
    <cellStyle name="Comma 2" xfId="83" xr:uid="{502BC78D-0847-4F5A-B920-EE6258458678}"/>
    <cellStyle name="Comma 2 2 3" xfId="5" xr:uid="{3A06E430-3A46-46F3-9679-679CA09E5660}"/>
    <cellStyle name="Comma 2 2 3 2" xfId="15" xr:uid="{7D3EC99C-0166-4EA3-97CE-0D674AB49E69}"/>
    <cellStyle name="Comma 2 2 3 2 2" xfId="20" xr:uid="{080E3B6A-F81F-42F2-B0A5-86DB0FB789DE}"/>
    <cellStyle name="Comma 2 2 3 2 2 2" xfId="39" xr:uid="{B24667EB-C432-404B-89AC-EA9D589AB3AF}"/>
    <cellStyle name="Comma 2 2 3 2 2 2 2" xfId="79" xr:uid="{B24667EB-C432-404B-89AC-EA9D589AB3AF}"/>
    <cellStyle name="Comma 2 2 3 2 2 3" xfId="60" xr:uid="{080E3B6A-F81F-42F2-B0A5-86DB0FB789DE}"/>
    <cellStyle name="Comma 2 2 3 2 2 4" xfId="88" xr:uid="{811DB1FC-4199-40DD-AE8F-8F8F340F1C97}"/>
    <cellStyle name="Comma 2 2 3 2 3" xfId="34" xr:uid="{B96EE41F-B5F6-4A81-BDA7-1F30A89F5193}"/>
    <cellStyle name="Comma 2 2 3 2 3 2" xfId="74" xr:uid="{B96EE41F-B5F6-4A81-BDA7-1F30A89F5193}"/>
    <cellStyle name="Comma 2 2 3 2 4" xfId="55" xr:uid="{7D3EC99C-0166-4EA3-97CE-0D674AB49E69}"/>
    <cellStyle name="Comma 2 2 3 3" xfId="25" xr:uid="{9BCF3B51-1BFC-4DCB-AEF4-0A2D5362E31F}"/>
    <cellStyle name="Comma 2 2 3 3 2" xfId="65" xr:uid="{9BCF3B51-1BFC-4DCB-AEF4-0A2D5362E31F}"/>
    <cellStyle name="Comma 2 2 3 4" xfId="46" xr:uid="{3A06E430-3A46-46F3-9679-679CA09E5660}"/>
    <cellStyle name="Comma 3" xfId="43" xr:uid="{0CBD23ED-1BF1-4DA7-845C-17BDA5FBDB45}"/>
    <cellStyle name="Comma 4 2 3" xfId="9" xr:uid="{ACBE1667-54E4-4FB9-9C74-5E0ED551B9AD}"/>
    <cellStyle name="Comma 4 2 3 2" xfId="29" xr:uid="{F5C119CD-A7CF-4EE4-8C29-59CD558C6B02}"/>
    <cellStyle name="Comma 4 2 3 2 2" xfId="69" xr:uid="{F5C119CD-A7CF-4EE4-8C29-59CD558C6B02}"/>
    <cellStyle name="Comma 4 2 3 3" xfId="50" xr:uid="{ACBE1667-54E4-4FB9-9C74-5E0ED551B9AD}"/>
    <cellStyle name="Comma 4 2 3 4" xfId="85" xr:uid="{F7445EAE-043C-4D9E-AAAC-98AF7823136A}"/>
    <cellStyle name="Currency" xfId="92" builtinId="4"/>
    <cellStyle name="Currency 2" xfId="6" xr:uid="{2AA6122B-D43B-49C7-BCDC-55580479BEAA}"/>
    <cellStyle name="Currency 2 2" xfId="26" xr:uid="{5A4CEAF3-0653-4E74-95DA-E145DC2E530D}"/>
    <cellStyle name="Currency 2 2 2" xfId="66" xr:uid="{5A4CEAF3-0653-4E74-95DA-E145DC2E530D}"/>
    <cellStyle name="Currency 2 3" xfId="47" xr:uid="{2AA6122B-D43B-49C7-BCDC-55580479BEAA}"/>
    <cellStyle name="Currency 2 4" xfId="87" xr:uid="{ADF4AA96-33DB-49CA-AACF-DF3D4014EB47}"/>
    <cellStyle name="Currency 3 2 3" xfId="13" xr:uid="{D24F46C1-EAE6-43EA-8AE1-E4EB58CDE897}"/>
    <cellStyle name="Currency 3 2 3 2" xfId="18" xr:uid="{2AD04936-8A46-4ED0-9C8C-A991022A19AB}"/>
    <cellStyle name="Currency 3 2 3 2 2" xfId="23" xr:uid="{6171F312-49D7-42CD-A93E-48DC1BFF6D34}"/>
    <cellStyle name="Currency 3 2 3 2 2 2" xfId="42" xr:uid="{B65DEE09-002A-4005-8754-74A9F5BC4FFE}"/>
    <cellStyle name="Currency 3 2 3 2 2 2 2" xfId="82" xr:uid="{B65DEE09-002A-4005-8754-74A9F5BC4FFE}"/>
    <cellStyle name="Currency 3 2 3 2 2 3" xfId="63" xr:uid="{6171F312-49D7-42CD-A93E-48DC1BFF6D34}"/>
    <cellStyle name="Currency 3 2 3 2 3" xfId="37" xr:uid="{D2B4CA23-F374-42CF-99F1-DF4A78DC8956}"/>
    <cellStyle name="Currency 3 2 3 2 3 2" xfId="77" xr:uid="{D2B4CA23-F374-42CF-99F1-DF4A78DC8956}"/>
    <cellStyle name="Currency 3 2 3 2 4" xfId="58" xr:uid="{2AD04936-8A46-4ED0-9C8C-A991022A19AB}"/>
    <cellStyle name="Currency 3 2 3 2 5" xfId="91" xr:uid="{E3A12208-2D11-4AB0-86C1-C99AAA7E77CB}"/>
    <cellStyle name="Currency 3 2 3 3" xfId="32" xr:uid="{D60A3CF6-A544-444A-A0F2-9B577699D232}"/>
    <cellStyle name="Currency 3 2 3 3 2" xfId="72" xr:uid="{D60A3CF6-A544-444A-A0F2-9B577699D232}"/>
    <cellStyle name="Currency 3 2 3 4" xfId="53" xr:uid="{D24F46C1-EAE6-43EA-8AE1-E4EB58CDE897}"/>
    <cellStyle name="Normal" xfId="0" builtinId="0"/>
    <cellStyle name="Normal 2" xfId="2" xr:uid="{016B93AD-AE6C-497E-8C2C-BB097CE76441}"/>
    <cellStyle name="Normal 2 2 3" xfId="11" xr:uid="{9045E370-D888-41A7-BD22-475512EF3B7A}"/>
    <cellStyle name="Normal 2 2 3 2" xfId="14" xr:uid="{A86B3CC7-EBD3-478A-9677-08C16982B7C6}"/>
    <cellStyle name="Normal 2 2 3 2 2" xfId="19" xr:uid="{0F73D058-7929-45FB-9526-C968C4F506F7}"/>
    <cellStyle name="Normal 2 2 3 2 2 2" xfId="38" xr:uid="{AF757E72-F6B9-4602-BC9B-F3CE6E9715F0}"/>
    <cellStyle name="Normal 2 2 3 2 2 2 2" xfId="78" xr:uid="{AF757E72-F6B9-4602-BC9B-F3CE6E9715F0}"/>
    <cellStyle name="Normal 2 2 3 2 2 3" xfId="59" xr:uid="{0F73D058-7929-45FB-9526-C968C4F506F7}"/>
    <cellStyle name="Normal 2 2 3 2 2 4" xfId="86" xr:uid="{AF0161A5-755D-490B-A394-F20C452177CB}"/>
    <cellStyle name="Normal 2 2 3 2 3" xfId="33" xr:uid="{F61047DA-B21B-4B51-8975-7EED453202CD}"/>
    <cellStyle name="Normal 2 2 3 2 3 2" xfId="73" xr:uid="{F61047DA-B21B-4B51-8975-7EED453202CD}"/>
    <cellStyle name="Normal 2 2 3 2 4" xfId="54" xr:uid="{A86B3CC7-EBD3-478A-9677-08C16982B7C6}"/>
    <cellStyle name="Normal 2 2 3 3" xfId="30" xr:uid="{A17E4CFD-CB23-4ADA-B312-AB6BD9F27E32}"/>
    <cellStyle name="Normal 2 2 3 3 2" xfId="70" xr:uid="{A17E4CFD-CB23-4ADA-B312-AB6BD9F27E32}"/>
    <cellStyle name="Normal 2 2 3 4" xfId="51" xr:uid="{9045E370-D888-41A7-BD22-475512EF3B7A}"/>
    <cellStyle name="Normal 3" xfId="3" xr:uid="{8DEBBB21-BB03-485A-ADF1-CA50C73504E7}"/>
    <cellStyle name="Normal 3 2" xfId="4" xr:uid="{700F49A9-DBCF-4DDC-8F29-968321E5C434}"/>
    <cellStyle name="Normal 3 2 3" xfId="12" xr:uid="{826DE55F-8CE9-4C47-9466-F719EB826C2A}"/>
    <cellStyle name="Normal 3 2 3 2" xfId="17" xr:uid="{1469C7BB-4000-4AFD-8CF6-D1709FCDFCC2}"/>
    <cellStyle name="Normal 3 2 3 2 2" xfId="22" xr:uid="{35EED9EB-22CC-47C0-A7E1-C8260835362B}"/>
    <cellStyle name="Normal 3 2 3 2 2 2" xfId="41" xr:uid="{61D10A83-DFB0-4DF7-BA65-24260A492FD1}"/>
    <cellStyle name="Normal 3 2 3 2 2 2 2" xfId="81" xr:uid="{61D10A83-DFB0-4DF7-BA65-24260A492FD1}"/>
    <cellStyle name="Normal 3 2 3 2 2 3" xfId="62" xr:uid="{35EED9EB-22CC-47C0-A7E1-C8260835362B}"/>
    <cellStyle name="Normal 3 2 3 2 3" xfId="36" xr:uid="{77DA16E9-F4CC-465E-A16E-3F5711F23DAA}"/>
    <cellStyle name="Normal 3 2 3 2 3 2" xfId="76" xr:uid="{77DA16E9-F4CC-465E-A16E-3F5711F23DAA}"/>
    <cellStyle name="Normal 3 2 3 2 4" xfId="57" xr:uid="{1469C7BB-4000-4AFD-8CF6-D1709FCDFCC2}"/>
    <cellStyle name="Normal 3 2 3 2 5" xfId="90" xr:uid="{406FBA8F-BA81-4FF3-9843-3176DE9E524E}"/>
    <cellStyle name="Normal 3 2 3 3" xfId="31" xr:uid="{585398C5-0EBC-4757-AB35-719C2989E3FA}"/>
    <cellStyle name="Normal 3 2 3 3 2" xfId="71" xr:uid="{585398C5-0EBC-4757-AB35-719C2989E3FA}"/>
    <cellStyle name="Normal 3 2 3 4" xfId="52" xr:uid="{826DE55F-8CE9-4C47-9466-F719EB826C2A}"/>
    <cellStyle name="Normal 3 3" xfId="24" xr:uid="{15824444-6ECA-4047-84BB-BB2B3F94667E}"/>
    <cellStyle name="Normal 3 3 2" xfId="64" xr:uid="{15824444-6ECA-4047-84BB-BB2B3F94667E}"/>
    <cellStyle name="Normal 3 4" xfId="45" xr:uid="{8DEBBB21-BB03-485A-ADF1-CA50C73504E7}"/>
    <cellStyle name="Normal 5 2 3" xfId="8" xr:uid="{9541E8FF-45C2-451E-BF6B-252526F2E7A5}"/>
    <cellStyle name="Normal 5 2 3 2" xfId="16" xr:uid="{BA0F46DC-9CC9-47D2-9D9B-F914E2A94800}"/>
    <cellStyle name="Normal 5 2 3 2 2" xfId="21" xr:uid="{8BE08AEB-745A-44B3-9AAE-6A078C1365A6}"/>
    <cellStyle name="Normal 5 2 3 2 2 2" xfId="40" xr:uid="{7B342E55-C576-45E6-9193-A706FFCAAEF3}"/>
    <cellStyle name="Normal 5 2 3 2 2 2 2" xfId="80" xr:uid="{7B342E55-C576-45E6-9193-A706FFCAAEF3}"/>
    <cellStyle name="Normal 5 2 3 2 2 3" xfId="61" xr:uid="{8BE08AEB-745A-44B3-9AAE-6A078C1365A6}"/>
    <cellStyle name="Normal 5 2 3 2 2 4" xfId="84" xr:uid="{17508B18-A68E-471A-A70E-4F98D4651B04}"/>
    <cellStyle name="Normal 5 2 3 2 3" xfId="35" xr:uid="{E1018DE0-2D14-4D5B-83A0-3D8FAF0B246F}"/>
    <cellStyle name="Normal 5 2 3 2 3 2" xfId="75" xr:uid="{E1018DE0-2D14-4D5B-83A0-3D8FAF0B246F}"/>
    <cellStyle name="Normal 5 2 3 2 4" xfId="56" xr:uid="{BA0F46DC-9CC9-47D2-9D9B-F914E2A94800}"/>
    <cellStyle name="Normal 5 2 3 3" xfId="28" xr:uid="{7C51717C-8C81-4BDB-B0A2-3ADFDDCD7531}"/>
    <cellStyle name="Normal 5 2 3 3 2" xfId="68" xr:uid="{7C51717C-8C81-4BDB-B0A2-3ADFDDCD7531}"/>
    <cellStyle name="Normal 5 2 3 4" xfId="49" xr:uid="{9541E8FF-45C2-451E-BF6B-252526F2E7A5}"/>
    <cellStyle name="Percent" xfId="44" builtinId="5"/>
    <cellStyle name="Percent 2" xfId="7" xr:uid="{D0DE0FDD-8199-4806-AFC4-0E217A04FB1D}"/>
    <cellStyle name="Percent 2 2" xfId="27" xr:uid="{95420558-DF70-4A7E-9C00-610EAB593CDC}"/>
    <cellStyle name="Percent 2 2 2" xfId="67" xr:uid="{95420558-DF70-4A7E-9C00-610EAB593CDC}"/>
    <cellStyle name="Percent 2 3" xfId="48" xr:uid="{D0DE0FDD-8199-4806-AFC4-0E217A04FB1D}"/>
    <cellStyle name="Percent 2 4" xfId="89" xr:uid="{FC7A700F-12D1-4D3B-A059-778ADBCCF07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</xdr:row>
      <xdr:rowOff>0</xdr:rowOff>
    </xdr:from>
    <xdr:ext cx="304800" cy="304801"/>
    <xdr:sp macro="" textlink="">
      <xdr:nvSpPr>
        <xdr:cNvPr id="2" name="x_0-wus-d1-1657b856540ac2d95fb159880b53192e" descr="image">
          <a:extLst>
            <a:ext uri="{FF2B5EF4-FFF2-40B4-BE49-F238E27FC236}">
              <a16:creationId xmlns:a16="http://schemas.microsoft.com/office/drawing/2014/main" id="{55D73DEC-3796-4C96-B9F8-C31BC8F4D683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467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4801"/>
    <xdr:sp macro="" textlink="">
      <xdr:nvSpPr>
        <xdr:cNvPr id="3" name="x_0-wus-d1-1657b856540ac2d95fb159880b53192e" descr="image">
          <a:extLst>
            <a:ext uri="{FF2B5EF4-FFF2-40B4-BE49-F238E27FC236}">
              <a16:creationId xmlns:a16="http://schemas.microsoft.com/office/drawing/2014/main" id="{BE702B32-CF5E-4B7E-8037-63D6E424CEA9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486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4801"/>
    <xdr:sp macro="" textlink="">
      <xdr:nvSpPr>
        <xdr:cNvPr id="4" name="x_0-wus-d1-1657b856540ac2d95fb159880b53192e" descr="image">
          <a:extLst>
            <a:ext uri="{FF2B5EF4-FFF2-40B4-BE49-F238E27FC236}">
              <a16:creationId xmlns:a16="http://schemas.microsoft.com/office/drawing/2014/main" id="{C9F61069-087E-4C91-8A48-28F8577E9D6A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486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1"/>
    <xdr:sp macro="" textlink="">
      <xdr:nvSpPr>
        <xdr:cNvPr id="5" name="x_0-wus-d1-1657b856540ac2d95fb159880b53192e" descr="image">
          <a:extLst>
            <a:ext uri="{FF2B5EF4-FFF2-40B4-BE49-F238E27FC236}">
              <a16:creationId xmlns:a16="http://schemas.microsoft.com/office/drawing/2014/main" id="{C1030C05-CF5D-4347-95FC-09576CF43E2D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1982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304800" cy="304801"/>
    <xdr:sp macro="" textlink="">
      <xdr:nvSpPr>
        <xdr:cNvPr id="6" name="x_0-wus-d1-1657b856540ac2d95fb159880b53192e" descr="image">
          <a:extLst>
            <a:ext uri="{FF2B5EF4-FFF2-40B4-BE49-F238E27FC236}">
              <a16:creationId xmlns:a16="http://schemas.microsoft.com/office/drawing/2014/main" id="{E04D34B6-7C3E-4FBA-9591-29FCC0AD780B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8766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1"/>
    <xdr:sp macro="" textlink="">
      <xdr:nvSpPr>
        <xdr:cNvPr id="7" name="x_0-wus-d1-1657b856540ac2d95fb159880b53192e" descr="image">
          <a:extLst>
            <a:ext uri="{FF2B5EF4-FFF2-40B4-BE49-F238E27FC236}">
              <a16:creationId xmlns:a16="http://schemas.microsoft.com/office/drawing/2014/main" id="{669F2BC0-D490-420D-BFCC-8E0AE6A2D902}"/>
            </a:ext>
          </a:extLst>
        </xdr:cNvPr>
        <xdr:cNvSpPr>
          <a:spLocks noChangeAspect="1" noChangeArrowheads="1"/>
        </xdr:cNvSpPr>
      </xdr:nvSpPr>
      <xdr:spPr bwMode="auto">
        <a:xfrm>
          <a:off x="6934200" y="11982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304800" cy="304801"/>
    <xdr:sp macro="" textlink="">
      <xdr:nvSpPr>
        <xdr:cNvPr id="8" name="x_0-wus-d1-1657b856540ac2d95fb159880b53192e" descr="image">
          <a:extLst>
            <a:ext uri="{FF2B5EF4-FFF2-40B4-BE49-F238E27FC236}">
              <a16:creationId xmlns:a16="http://schemas.microsoft.com/office/drawing/2014/main" id="{54A56E70-A961-4A0A-80CD-968CDD90BBC6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8766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66</xdr:row>
      <xdr:rowOff>0</xdr:rowOff>
    </xdr:from>
    <xdr:ext cx="304800" cy="304801"/>
    <xdr:sp macro="" textlink="">
      <xdr:nvSpPr>
        <xdr:cNvPr id="9" name="x_0-wus-d1-1657b856540ac2d95fb159880b53192e" descr="image">
          <a:extLst>
            <a:ext uri="{FF2B5EF4-FFF2-40B4-BE49-F238E27FC236}">
              <a16:creationId xmlns:a16="http://schemas.microsoft.com/office/drawing/2014/main" id="{01992B71-4D27-42C3-BF97-C679F3A45965}"/>
            </a:ext>
          </a:extLst>
        </xdr:cNvPr>
        <xdr:cNvSpPr>
          <a:spLocks noChangeAspect="1" noChangeArrowheads="1"/>
        </xdr:cNvSpPr>
      </xdr:nvSpPr>
      <xdr:spPr bwMode="auto">
        <a:xfrm>
          <a:off x="7029450" y="115824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04801"/>
    <xdr:sp macro="" textlink="">
      <xdr:nvSpPr>
        <xdr:cNvPr id="10" name="x_0-wus-d1-1657b856540ac2d95fb159880b53192e" descr="image">
          <a:extLst>
            <a:ext uri="{FF2B5EF4-FFF2-40B4-BE49-F238E27FC236}">
              <a16:creationId xmlns:a16="http://schemas.microsoft.com/office/drawing/2014/main" id="{D9C9F51C-9C2B-4BB1-87DF-3D4961242085}"/>
            </a:ext>
          </a:extLst>
        </xdr:cNvPr>
        <xdr:cNvSpPr>
          <a:spLocks noChangeAspect="1" noChangeArrowheads="1"/>
        </xdr:cNvSpPr>
      </xdr:nvSpPr>
      <xdr:spPr bwMode="auto">
        <a:xfrm>
          <a:off x="7029450" y="3486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80</xdr:row>
      <xdr:rowOff>0</xdr:rowOff>
    </xdr:from>
    <xdr:ext cx="304800" cy="304801"/>
    <xdr:sp macro="" textlink="">
      <xdr:nvSpPr>
        <xdr:cNvPr id="11" name="x_0-wus-d1-1657b856540ac2d95fb159880b53192e" descr="image">
          <a:extLst>
            <a:ext uri="{FF2B5EF4-FFF2-40B4-BE49-F238E27FC236}">
              <a16:creationId xmlns:a16="http://schemas.microsoft.com/office/drawing/2014/main" id="{EC575F65-6698-4260-95EA-2105CDD45866}"/>
            </a:ext>
          </a:extLst>
        </xdr:cNvPr>
        <xdr:cNvSpPr>
          <a:spLocks noChangeAspect="1" noChangeArrowheads="1"/>
        </xdr:cNvSpPr>
      </xdr:nvSpPr>
      <xdr:spPr bwMode="auto">
        <a:xfrm>
          <a:off x="7134225" y="156686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4801"/>
    <xdr:sp macro="" textlink="">
      <xdr:nvSpPr>
        <xdr:cNvPr id="12" name="x_0-wus-d1-1657b856540ac2d95fb159880b53192e" descr="image">
          <a:extLst>
            <a:ext uri="{FF2B5EF4-FFF2-40B4-BE49-F238E27FC236}">
              <a16:creationId xmlns:a16="http://schemas.microsoft.com/office/drawing/2014/main" id="{14A5E343-ACD8-437B-9D42-DD4C2272AFBE}"/>
            </a:ext>
          </a:extLst>
        </xdr:cNvPr>
        <xdr:cNvSpPr>
          <a:spLocks noChangeAspect="1" noChangeArrowheads="1"/>
        </xdr:cNvSpPr>
      </xdr:nvSpPr>
      <xdr:spPr bwMode="auto">
        <a:xfrm>
          <a:off x="7134225" y="47053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80</xdr:row>
      <xdr:rowOff>0</xdr:rowOff>
    </xdr:from>
    <xdr:ext cx="304800" cy="304801"/>
    <xdr:sp macro="" textlink="">
      <xdr:nvSpPr>
        <xdr:cNvPr id="13" name="x_0-wus-d1-1657b856540ac2d95fb159880b53192e" descr="image">
          <a:extLst>
            <a:ext uri="{FF2B5EF4-FFF2-40B4-BE49-F238E27FC236}">
              <a16:creationId xmlns:a16="http://schemas.microsoft.com/office/drawing/2014/main" id="{02B3C49B-F20B-428C-BB98-1C93ECE8450A}"/>
            </a:ext>
          </a:extLst>
        </xdr:cNvPr>
        <xdr:cNvSpPr>
          <a:spLocks noChangeAspect="1" noChangeArrowheads="1"/>
        </xdr:cNvSpPr>
      </xdr:nvSpPr>
      <xdr:spPr bwMode="auto">
        <a:xfrm>
          <a:off x="7134225" y="15678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4801"/>
    <xdr:sp macro="" textlink="">
      <xdr:nvSpPr>
        <xdr:cNvPr id="14" name="x_0-wus-d1-1657b856540ac2d95fb159880b53192e" descr="image">
          <a:extLst>
            <a:ext uri="{FF2B5EF4-FFF2-40B4-BE49-F238E27FC236}">
              <a16:creationId xmlns:a16="http://schemas.microsoft.com/office/drawing/2014/main" id="{43429EB0-45D4-4B14-A2FF-D06A15314AA0}"/>
            </a:ext>
          </a:extLst>
        </xdr:cNvPr>
        <xdr:cNvSpPr>
          <a:spLocks noChangeAspect="1" noChangeArrowheads="1"/>
        </xdr:cNvSpPr>
      </xdr:nvSpPr>
      <xdr:spPr bwMode="auto">
        <a:xfrm>
          <a:off x="7134225" y="47053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81</xdr:row>
      <xdr:rowOff>0</xdr:rowOff>
    </xdr:from>
    <xdr:ext cx="304800" cy="304801"/>
    <xdr:sp macro="" textlink="">
      <xdr:nvSpPr>
        <xdr:cNvPr id="15" name="x_0-wus-d1-1657b856540ac2d95fb159880b53192e" descr="image">
          <a:extLst>
            <a:ext uri="{FF2B5EF4-FFF2-40B4-BE49-F238E27FC236}">
              <a16:creationId xmlns:a16="http://schemas.microsoft.com/office/drawing/2014/main" id="{7AADD4A5-A4C1-43BA-A62C-0C9D49D3F0D7}"/>
            </a:ext>
          </a:extLst>
        </xdr:cNvPr>
        <xdr:cNvSpPr>
          <a:spLocks noChangeAspect="1" noChangeArrowheads="1"/>
        </xdr:cNvSpPr>
      </xdr:nvSpPr>
      <xdr:spPr bwMode="auto">
        <a:xfrm>
          <a:off x="7134225" y="158591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1"/>
    <xdr:sp macro="" textlink="">
      <xdr:nvSpPr>
        <xdr:cNvPr id="16" name="x_0-wus-d1-1657b856540ac2d95fb159880b53192e" descr="image">
          <a:extLst>
            <a:ext uri="{FF2B5EF4-FFF2-40B4-BE49-F238E27FC236}">
              <a16:creationId xmlns:a16="http://schemas.microsoft.com/office/drawing/2014/main" id="{A878BBE8-3B33-41C2-BF4F-E70C03A31A9A}"/>
            </a:ext>
          </a:extLst>
        </xdr:cNvPr>
        <xdr:cNvSpPr>
          <a:spLocks noChangeAspect="1" noChangeArrowheads="1"/>
        </xdr:cNvSpPr>
      </xdr:nvSpPr>
      <xdr:spPr bwMode="auto">
        <a:xfrm>
          <a:off x="7134225" y="48958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81</xdr:row>
      <xdr:rowOff>0</xdr:rowOff>
    </xdr:from>
    <xdr:ext cx="304800" cy="304801"/>
    <xdr:sp macro="" textlink="">
      <xdr:nvSpPr>
        <xdr:cNvPr id="17" name="x_0-wus-d1-1657b856540ac2d95fb159880b53192e" descr="image">
          <a:extLst>
            <a:ext uri="{FF2B5EF4-FFF2-40B4-BE49-F238E27FC236}">
              <a16:creationId xmlns:a16="http://schemas.microsoft.com/office/drawing/2014/main" id="{5F5B080F-8D97-4466-981E-49EB083FEA45}"/>
            </a:ext>
          </a:extLst>
        </xdr:cNvPr>
        <xdr:cNvSpPr>
          <a:spLocks noChangeAspect="1" noChangeArrowheads="1"/>
        </xdr:cNvSpPr>
      </xdr:nvSpPr>
      <xdr:spPr bwMode="auto">
        <a:xfrm>
          <a:off x="7134225" y="16935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304801"/>
    <xdr:sp macro="" textlink="">
      <xdr:nvSpPr>
        <xdr:cNvPr id="18" name="x_0-wus-d1-1657b856540ac2d95fb159880b53192e" descr="image">
          <a:extLst>
            <a:ext uri="{FF2B5EF4-FFF2-40B4-BE49-F238E27FC236}">
              <a16:creationId xmlns:a16="http://schemas.microsoft.com/office/drawing/2014/main" id="{0E8D778D-2423-44C5-B166-36835468B3F0}"/>
            </a:ext>
          </a:extLst>
        </xdr:cNvPr>
        <xdr:cNvSpPr>
          <a:spLocks noChangeAspect="1" noChangeArrowheads="1"/>
        </xdr:cNvSpPr>
      </xdr:nvSpPr>
      <xdr:spPr bwMode="auto">
        <a:xfrm>
          <a:off x="7134225" y="46386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2F278E-A496-4935-8C85-464F63355CFD}"/>
            </a:ext>
          </a:extLst>
        </xdr:cNvPr>
        <xdr:cNvSpPr txBox="1"/>
      </xdr:nvSpPr>
      <xdr:spPr>
        <a:xfrm flipH="1">
          <a:off x="15514468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C7F63A-1BCE-4FEA-9575-E9BD0817315C}"/>
            </a:ext>
          </a:extLst>
        </xdr:cNvPr>
        <xdr:cNvSpPr txBox="1"/>
      </xdr:nvSpPr>
      <xdr:spPr>
        <a:xfrm flipH="1">
          <a:off x="15514468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B75BFA0-1CB4-43F9-843F-54C17EC6DCFB}"/>
            </a:ext>
          </a:extLst>
        </xdr:cNvPr>
        <xdr:cNvSpPr txBox="1"/>
      </xdr:nvSpPr>
      <xdr:spPr>
        <a:xfrm flipH="1">
          <a:off x="15485893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4A6D28B-FF21-40A5-B782-870FA26B4B71}"/>
            </a:ext>
          </a:extLst>
        </xdr:cNvPr>
        <xdr:cNvSpPr txBox="1"/>
      </xdr:nvSpPr>
      <xdr:spPr>
        <a:xfrm flipH="1">
          <a:off x="15904993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FD6EA38-F5C9-4559-BB20-E9D40F27D5BE}"/>
            </a:ext>
          </a:extLst>
        </xdr:cNvPr>
        <xdr:cNvSpPr txBox="1"/>
      </xdr:nvSpPr>
      <xdr:spPr>
        <a:xfrm flipH="1">
          <a:off x="15904993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43A9EE2-FEB2-46FD-8BCB-4AD7FCF55BF9}"/>
            </a:ext>
          </a:extLst>
        </xdr:cNvPr>
        <xdr:cNvSpPr txBox="1"/>
      </xdr:nvSpPr>
      <xdr:spPr>
        <a:xfrm flipH="1">
          <a:off x="16143118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017D702-BEFC-4698-8948-4D8088ECC40B}"/>
            </a:ext>
          </a:extLst>
        </xdr:cNvPr>
        <xdr:cNvSpPr txBox="1"/>
      </xdr:nvSpPr>
      <xdr:spPr>
        <a:xfrm flipH="1">
          <a:off x="16924168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4649B05-E60B-4D8D-93F9-C1162656AD4E}"/>
            </a:ext>
          </a:extLst>
        </xdr:cNvPr>
        <xdr:cNvSpPr txBox="1"/>
      </xdr:nvSpPr>
      <xdr:spPr>
        <a:xfrm flipH="1">
          <a:off x="16924168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688451C-633C-4605-AA73-65DB78E13A8D}"/>
            </a:ext>
          </a:extLst>
        </xdr:cNvPr>
        <xdr:cNvSpPr txBox="1"/>
      </xdr:nvSpPr>
      <xdr:spPr>
        <a:xfrm flipH="1">
          <a:off x="16924168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1207918</xdr:colOff>
      <xdr:row>94</xdr:row>
      <xdr:rowOff>175846</xdr:rowOff>
    </xdr:from>
    <xdr:to>
      <xdr:col>7</xdr:col>
      <xdr:colOff>1253637</xdr:colOff>
      <xdr:row>96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D5E1D98-36A5-4204-9D20-C5554CD5F831}"/>
            </a:ext>
          </a:extLst>
        </xdr:cNvPr>
        <xdr:cNvSpPr txBox="1"/>
      </xdr:nvSpPr>
      <xdr:spPr>
        <a:xfrm flipH="1">
          <a:off x="18657718" y="400050"/>
          <a:ext cx="45719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:/S:/Users/katherinekimble/Dropbox/Elite%20Tech/2018/P:/AASC%20Quotes/TRAC_A_1Dom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katherinekimble\Desktop\Beauty%20Bakerie\August%20Close\C:\Users\Jose%20Seda\AppData\Local\Microsoft\Windows\INetCache\Content.Outlook\TFETU50S\Philips%20Financial%20Tracker-%20CLIENT%20(09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katherinekimble\Dropbox\Elite%20Tech\2018\P:\AASC%20Quotes\TRAC_A_1Dom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katherinekimble\Dropbox\Elite%20Tech\2018\C:\Accounting%20&amp;%20Finance\Cash%20Outlook\Archive\Cash%20Outlook%2006.26.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:/S:/Users/katherinekimble/Dropbox/Elite%20Tech/2018/C:/Accounting%20&amp;%20Finance/Cash%20Outlook/Archive/Cash%20Outlook%2006.26.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ptimaofficecom-my.sharepoint.com/Users/katherinekimble/Dropbox/Elite%20Tech/2018/MIS_PDC/PUBLIC/AASC%20Programs/Precission%20Structures%20Jobs/20062%20E2-C%20Radome/PM/15%20SS%20Amendment%20#1/1XX.X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:/S:/Users/katherinekimble/Desktop/Beauty%20Bakerie/August%20Close/C:/MAX%20ACCOUNTING/Financials/CJ%20Products%20Financials%209.30.17V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katherinekimble\Desktop\Beauty%20Bakerie\August%20Close\C:\MAX%20ACCOUNTING\Financials\CJ%20Products%20Financials%209.30.17V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ptimaofficecom-my.sharepoint.com/Users/LG/SkyDrive/Udemy/Excel_Visualization_Demo_with_Ex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:/S:/Users/katherinekimble/Desktop/Beauty%20Bakerie/August%20Close/C:/Users/Jose%20Seda/AppData/Local/Microsoft/Windows/INetCache/Content.Outlook/TFETU50S/Philips%20Financial%20Tracker-%20CLIENT%20(09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L_DB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L_D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Outlook 06.26.13"/>
    </sheetNames>
    <definedNames>
      <definedName name="aa"/>
      <definedName name="aaa"/>
      <definedName name="aaaa"/>
      <definedName name="aaaaa"/>
      <definedName name="DDDD"/>
      <definedName name="EEEEEE"/>
      <definedName name="FormatWBS"/>
      <definedName name="ImportLbr"/>
      <definedName name="new"/>
      <definedName name="S"/>
      <definedName name="ShowLDODlg"/>
      <definedName name="ShowPgBrkDlg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Outlook 06.26.13"/>
    </sheetNames>
    <definedNames>
      <definedName name="aa"/>
      <definedName name="aaa"/>
      <definedName name="aaaa"/>
      <definedName name="aaaaa"/>
      <definedName name="DDDD"/>
      <definedName name="EEEEEE"/>
      <definedName name="FormatWBS"/>
      <definedName name="ImportLbr"/>
      <definedName name="new"/>
      <definedName name="S"/>
      <definedName name="ShowLDODlg"/>
      <definedName name="ShowPgBrkDlg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t LBR"/>
      <sheetName val="Estimates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tion_4"/>
      <sheetName val="Section_5"/>
      <sheetName val="Section_6"/>
      <sheetName val="Section_7"/>
      <sheetName val="Section_8"/>
      <sheetName val="Section_9"/>
      <sheetName val="Section_10"/>
      <sheetName val="Section_11"/>
      <sheetName val="Section_12"/>
      <sheetName val="Section_13"/>
      <sheetName val="Section_14"/>
      <sheetName val="Section_15_A"/>
      <sheetName val="Section_15_B"/>
      <sheetName val="Tabelle2"/>
      <sheetName val="Pivot"/>
    </sheetNames>
    <sheetDataSet>
      <sheetData sheetId="0"/>
      <sheetData sheetId="1">
        <row r="48">
          <cell r="B48" t="str">
            <v>Month</v>
          </cell>
          <cell r="C48" t="str">
            <v>Sales. Rev</v>
          </cell>
        </row>
        <row r="49">
          <cell r="B49" t="str">
            <v>Jan</v>
          </cell>
          <cell r="C49">
            <v>220</v>
          </cell>
        </row>
        <row r="50">
          <cell r="B50" t="str">
            <v>Feb</v>
          </cell>
          <cell r="C50">
            <v>210</v>
          </cell>
        </row>
        <row r="51">
          <cell r="B51" t="str">
            <v>Mar</v>
          </cell>
          <cell r="C51">
            <v>200</v>
          </cell>
        </row>
        <row r="52">
          <cell r="B52" t="str">
            <v>Apr</v>
          </cell>
          <cell r="C52">
            <v>230</v>
          </cell>
        </row>
        <row r="53">
          <cell r="B53" t="str">
            <v>May</v>
          </cell>
          <cell r="C53">
            <v>190</v>
          </cell>
        </row>
        <row r="54">
          <cell r="B54" t="str">
            <v>Jun</v>
          </cell>
          <cell r="C54">
            <v>180</v>
          </cell>
        </row>
        <row r="55">
          <cell r="B55" t="str">
            <v>Jul</v>
          </cell>
          <cell r="C55">
            <v>198</v>
          </cell>
        </row>
        <row r="56">
          <cell r="B56" t="str">
            <v>Aug</v>
          </cell>
          <cell r="C56">
            <v>217</v>
          </cell>
        </row>
        <row r="57">
          <cell r="B57" t="str">
            <v>Sep</v>
          </cell>
          <cell r="C57">
            <v>230</v>
          </cell>
        </row>
        <row r="58">
          <cell r="B58" t="str">
            <v>Oct</v>
          </cell>
          <cell r="C58">
            <v>215</v>
          </cell>
        </row>
        <row r="59">
          <cell r="B59" t="str">
            <v>Nov</v>
          </cell>
          <cell r="C59">
            <v>220</v>
          </cell>
        </row>
        <row r="60">
          <cell r="B60" t="str">
            <v>Dec</v>
          </cell>
          <cell r="C60">
            <v>225</v>
          </cell>
        </row>
        <row r="61">
          <cell r="B61" t="str">
            <v>Jan</v>
          </cell>
          <cell r="C61">
            <v>225</v>
          </cell>
        </row>
        <row r="62">
          <cell r="B62" t="str">
            <v>Feb</v>
          </cell>
          <cell r="C62">
            <v>220</v>
          </cell>
        </row>
        <row r="63">
          <cell r="B63" t="str">
            <v>Mar</v>
          </cell>
          <cell r="C63">
            <v>200</v>
          </cell>
        </row>
        <row r="64">
          <cell r="B64" t="str">
            <v>Apr</v>
          </cell>
          <cell r="C64">
            <v>210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F6" t="str">
            <v>% Completed</v>
          </cell>
        </row>
      </sheetData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42CA-D813-48BA-8175-34F3036D2F8B}">
  <sheetPr codeName="Sheet1">
    <pageSetUpPr fitToPage="1"/>
  </sheetPr>
  <dimension ref="A1:P30"/>
  <sheetViews>
    <sheetView tabSelected="1" zoomScale="110" zoomScaleNormal="110" workbookViewId="0">
      <selection activeCell="K15" sqref="K15"/>
    </sheetView>
  </sheetViews>
  <sheetFormatPr defaultColWidth="8.85546875" defaultRowHeight="15" x14ac:dyDescent="0.25"/>
  <cols>
    <col min="1" max="1" width="33.85546875" style="1" customWidth="1"/>
    <col min="2" max="2" width="15.42578125" style="1" customWidth="1"/>
    <col min="3" max="3" width="17.140625" style="1" customWidth="1"/>
    <col min="4" max="4" width="16.42578125" style="1" customWidth="1"/>
    <col min="5" max="5" width="6.28515625" style="1" customWidth="1"/>
    <col min="6" max="11" width="16.42578125" style="1" customWidth="1"/>
    <col min="12" max="12" width="6" style="1" bestFit="1" customWidth="1"/>
    <col min="13" max="13" width="20.85546875" style="1" customWidth="1"/>
    <col min="14" max="14" width="20.42578125" style="2" customWidth="1"/>
    <col min="15" max="16" width="14.42578125" style="3" customWidth="1"/>
    <col min="17" max="17" width="3.140625" style="1" customWidth="1"/>
    <col min="18" max="18" width="13.5703125" style="1" customWidth="1"/>
    <col min="19" max="19" width="12.140625" style="1" bestFit="1" customWidth="1"/>
    <col min="20" max="20" width="12.140625" style="1" customWidth="1"/>
    <col min="21" max="21" width="10.42578125" style="1" bestFit="1" customWidth="1"/>
    <col min="22" max="16384" width="8.85546875" style="1"/>
  </cols>
  <sheetData>
    <row r="1" spans="1:11" ht="15" customHeight="1" x14ac:dyDescent="0.25">
      <c r="A1" s="709" t="s">
        <v>1668</v>
      </c>
      <c r="B1" s="709"/>
      <c r="C1" s="709"/>
      <c r="D1" s="709"/>
      <c r="E1" s="709"/>
      <c r="F1" s="709"/>
      <c r="G1" s="709"/>
      <c r="H1" s="709"/>
      <c r="I1" s="709"/>
    </row>
    <row r="2" spans="1:11" ht="15" customHeight="1" x14ac:dyDescent="0.25">
      <c r="A2" s="709"/>
      <c r="B2" s="709"/>
      <c r="C2" s="709"/>
      <c r="D2" s="709"/>
      <c r="E2" s="709"/>
      <c r="F2" s="709"/>
      <c r="G2" s="709"/>
      <c r="H2" s="709"/>
      <c r="I2" s="709"/>
    </row>
    <row r="3" spans="1:11" ht="15" customHeight="1" x14ac:dyDescent="0.25">
      <c r="A3" s="709"/>
      <c r="B3" s="709"/>
      <c r="C3" s="709"/>
      <c r="D3" s="709"/>
      <c r="E3" s="709"/>
      <c r="F3" s="709"/>
      <c r="G3" s="709"/>
      <c r="H3" s="709"/>
      <c r="I3" s="709"/>
    </row>
    <row r="4" spans="1:11" ht="18.75" thickBot="1" x14ac:dyDescent="0.3">
      <c r="B4" s="710"/>
      <c r="C4" s="711"/>
      <c r="D4" s="711"/>
      <c r="E4" s="33"/>
      <c r="G4" s="2"/>
      <c r="H4" s="3"/>
      <c r="I4" s="3"/>
    </row>
    <row r="5" spans="1:11" ht="19.5" thickBot="1" x14ac:dyDescent="0.3">
      <c r="A5" s="712" t="s">
        <v>1535</v>
      </c>
      <c r="B5" s="713"/>
      <c r="C5" s="713"/>
      <c r="D5" s="714"/>
      <c r="E5" s="34"/>
      <c r="F5" s="712" t="s">
        <v>114</v>
      </c>
      <c r="G5" s="713"/>
      <c r="H5" s="713"/>
      <c r="I5" s="714"/>
    </row>
    <row r="6" spans="1:11" ht="30" x14ac:dyDescent="0.25">
      <c r="A6" s="4"/>
      <c r="B6" s="28" t="s">
        <v>1669</v>
      </c>
      <c r="C6" s="28" t="s">
        <v>1670</v>
      </c>
      <c r="D6" s="5" t="s">
        <v>614</v>
      </c>
      <c r="E6" s="28"/>
      <c r="F6" s="4"/>
      <c r="G6" s="6"/>
      <c r="H6" s="440">
        <v>45443</v>
      </c>
      <c r="I6" s="441">
        <v>45077</v>
      </c>
    </row>
    <row r="7" spans="1:11" x14ac:dyDescent="0.25">
      <c r="A7" s="7" t="s">
        <v>115</v>
      </c>
      <c r="D7" s="8"/>
      <c r="F7" s="9" t="s">
        <v>116</v>
      </c>
      <c r="G7" s="10"/>
      <c r="H7" s="10"/>
      <c r="I7" s="11"/>
    </row>
    <row r="8" spans="1:11" x14ac:dyDescent="0.25">
      <c r="A8" s="12" t="s">
        <v>117</v>
      </c>
      <c r="B8" s="13">
        <f>'Stmt of Activities-P&amp;L'!G8</f>
        <v>174166.58000000002</v>
      </c>
      <c r="C8" s="13">
        <f>'Monthly YTD Actuals vs. Budget'!W9</f>
        <v>132500</v>
      </c>
      <c r="D8" s="14">
        <f>B8-C8</f>
        <v>41666.580000000016</v>
      </c>
      <c r="E8" s="13"/>
      <c r="F8" s="705" t="s">
        <v>118</v>
      </c>
      <c r="G8" s="706"/>
      <c r="H8" s="15">
        <f>'Stmt of Fin Position-Balance Sh'!F12</f>
        <v>826043.73</v>
      </c>
      <c r="I8" s="14">
        <f>'2023 Balance Sheet'!F12</f>
        <v>833720.97</v>
      </c>
    </row>
    <row r="9" spans="1:11" x14ac:dyDescent="0.25">
      <c r="A9" s="12" t="s">
        <v>625</v>
      </c>
      <c r="B9" s="13">
        <f>'Stmt of Activities-P&amp;L'!G10</f>
        <v>0</v>
      </c>
      <c r="C9" s="13">
        <f>'Monthly YTD Actuals vs. Budget'!W11</f>
        <v>0</v>
      </c>
      <c r="D9" s="14">
        <f t="shared" ref="D9:D16" si="0">B9-C9</f>
        <v>0</v>
      </c>
      <c r="E9" s="13"/>
      <c r="F9" s="705" t="s">
        <v>119</v>
      </c>
      <c r="G9" s="706"/>
      <c r="H9" s="15">
        <f>'Stmt of Fin Position-Balance Sh'!F15</f>
        <v>58499.97</v>
      </c>
      <c r="I9" s="14">
        <f>'2023 Balance Sheet'!F15</f>
        <v>12525</v>
      </c>
      <c r="K9" s="26"/>
    </row>
    <row r="10" spans="1:11" x14ac:dyDescent="0.25">
      <c r="A10" s="12" t="s">
        <v>626</v>
      </c>
      <c r="B10" s="13">
        <f>'Stmt of Activities-P&amp;L'!G11</f>
        <v>21122.5</v>
      </c>
      <c r="C10" s="13">
        <f>'Monthly YTD Actuals vs. Budget'!W12</f>
        <v>25750</v>
      </c>
      <c r="D10" s="14">
        <f>B10-C10</f>
        <v>-4627.5</v>
      </c>
      <c r="E10" s="13"/>
      <c r="F10" s="705" t="s">
        <v>120</v>
      </c>
      <c r="G10" s="706"/>
      <c r="H10" s="15">
        <f>'Stmt of Fin Position-Balance Sh'!F21</f>
        <v>12315.66</v>
      </c>
      <c r="I10" s="14">
        <f>'2023 Balance Sheet'!F20</f>
        <v>22286.17</v>
      </c>
    </row>
    <row r="11" spans="1:11" x14ac:dyDescent="0.25">
      <c r="A11" s="12" t="s">
        <v>627</v>
      </c>
      <c r="B11" s="13">
        <f>'Stmt of Activities-P&amp;L'!G14</f>
        <v>0</v>
      </c>
      <c r="C11" s="13">
        <f>'Monthly YTD Actuals vs. Budget'!W15</f>
        <v>0</v>
      </c>
      <c r="D11" s="14">
        <f t="shared" si="0"/>
        <v>0</v>
      </c>
      <c r="E11" s="13"/>
      <c r="F11" s="707" t="s">
        <v>121</v>
      </c>
      <c r="G11" s="708"/>
      <c r="H11" s="16">
        <f>SUM(H8:H10)</f>
        <v>896859.36</v>
      </c>
      <c r="I11" s="17">
        <f>SUM(I8:I10)</f>
        <v>868532.14</v>
      </c>
    </row>
    <row r="12" spans="1:11" x14ac:dyDescent="0.25">
      <c r="A12" s="12" t="s">
        <v>628</v>
      </c>
      <c r="B12" s="13">
        <f>'Stmt of Activities-P&amp;L'!G15</f>
        <v>29500</v>
      </c>
      <c r="C12" s="13">
        <f>'Monthly YTD Actuals vs. Budget'!W16</f>
        <v>53000</v>
      </c>
      <c r="D12" s="14">
        <f>B12-C12</f>
        <v>-23500</v>
      </c>
      <c r="E12" s="13"/>
      <c r="F12" s="705" t="s">
        <v>122</v>
      </c>
      <c r="G12" s="706"/>
      <c r="H12" s="13">
        <f>'Stmt of Fin Position-Balance Sh'!F27</f>
        <v>2948.04</v>
      </c>
      <c r="I12" s="14">
        <f>'2023 Balance Sheet'!F26</f>
        <v>2948.04</v>
      </c>
    </row>
    <row r="13" spans="1:11" x14ac:dyDescent="0.25">
      <c r="A13" s="12" t="s">
        <v>123</v>
      </c>
      <c r="B13" s="13">
        <f>'Stmt of Activities-P&amp;L'!G17</f>
        <v>0</v>
      </c>
      <c r="C13" s="13">
        <f>'Monthly YTD Actuals vs. Budget'!W18</f>
        <v>5000</v>
      </c>
      <c r="D13" s="14">
        <f t="shared" si="0"/>
        <v>-5000</v>
      </c>
      <c r="E13" s="13"/>
      <c r="F13" s="707" t="s">
        <v>125</v>
      </c>
      <c r="G13" s="708"/>
      <c r="H13" s="48">
        <f>H11+H12</f>
        <v>899807.4</v>
      </c>
      <c r="I13" s="49">
        <f>I11+I12</f>
        <v>871480.18</v>
      </c>
    </row>
    <row r="14" spans="1:11" x14ac:dyDescent="0.25">
      <c r="A14" s="12" t="s">
        <v>124</v>
      </c>
      <c r="B14" s="13">
        <f>'Stmt of Activities-P&amp;L'!G21</f>
        <v>24032.5</v>
      </c>
      <c r="C14" s="13">
        <f>'Monthly YTD Actuals vs. Budget'!W22</f>
        <v>25000</v>
      </c>
      <c r="D14" s="14">
        <f t="shared" si="0"/>
        <v>-967.5</v>
      </c>
      <c r="E14" s="13"/>
      <c r="F14" s="707" t="s">
        <v>126</v>
      </c>
      <c r="G14" s="708"/>
      <c r="H14" s="18"/>
      <c r="I14" s="14"/>
    </row>
    <row r="15" spans="1:11" x14ac:dyDescent="0.25">
      <c r="A15" s="12" t="s">
        <v>1133</v>
      </c>
      <c r="B15" s="13">
        <f>'Stmt of Activities-P&amp;L'!G22</f>
        <v>3190.79</v>
      </c>
      <c r="C15" s="13">
        <f>'Monthly YTD Actuals vs. Budget'!W23</f>
        <v>5000</v>
      </c>
      <c r="D15" s="14">
        <f t="shared" si="0"/>
        <v>-1809.21</v>
      </c>
      <c r="E15" s="13"/>
      <c r="F15" s="705" t="s">
        <v>127</v>
      </c>
      <c r="G15" s="706"/>
      <c r="H15" s="15">
        <f>'Stmt of Fin Position-Balance Sh'!F34</f>
        <v>0</v>
      </c>
      <c r="I15" s="14">
        <f>'2023 Balance Sheet'!F32</f>
        <v>9480.0400000000009</v>
      </c>
      <c r="K15" s="1">
        <f>250+175</f>
        <v>425</v>
      </c>
    </row>
    <row r="16" spans="1:11" x14ac:dyDescent="0.25">
      <c r="A16" s="12" t="s">
        <v>997</v>
      </c>
      <c r="B16" s="13">
        <f>'Stmt of Activities-P&amp;L'!G25</f>
        <v>0</v>
      </c>
      <c r="C16" s="13">
        <f>'Monthly YTD Actuals vs. Budget'!W26</f>
        <v>6250</v>
      </c>
      <c r="D16" s="14">
        <f t="shared" si="0"/>
        <v>-6250</v>
      </c>
      <c r="E16" s="13"/>
      <c r="F16" s="705" t="s">
        <v>129</v>
      </c>
      <c r="G16" s="706"/>
      <c r="H16" s="15">
        <f>'Stmt of Fin Position-Balance Sh'!F41</f>
        <v>2979.63</v>
      </c>
      <c r="I16" s="14">
        <f>'2023 Balance Sheet'!F38</f>
        <v>2384.7199999999998</v>
      </c>
    </row>
    <row r="17" spans="1:9" x14ac:dyDescent="0.25">
      <c r="A17" s="19" t="s">
        <v>128</v>
      </c>
      <c r="B17" s="44">
        <f>SUM(B8:B16)</f>
        <v>252012.37000000002</v>
      </c>
      <c r="C17" s="44">
        <f>SUM(C8:C16)</f>
        <v>252500</v>
      </c>
      <c r="D17" s="45">
        <f>SUM(D8:D16)</f>
        <v>-487.62999999998374</v>
      </c>
      <c r="E17" s="95"/>
      <c r="F17" s="705" t="s">
        <v>131</v>
      </c>
      <c r="G17" s="706"/>
      <c r="H17" s="15">
        <f>SUM('Stmt of Fin Position-Balance Sh'!F43:F45)</f>
        <v>57997.5</v>
      </c>
      <c r="I17" s="14">
        <f>SUM('2023 Balance Sheet'!F40:F43)</f>
        <v>63826.66</v>
      </c>
    </row>
    <row r="18" spans="1:9" x14ac:dyDescent="0.25">
      <c r="A18" s="7" t="s">
        <v>130</v>
      </c>
      <c r="B18" s="13"/>
      <c r="C18" s="13"/>
      <c r="D18" s="14"/>
      <c r="E18" s="13"/>
      <c r="F18" s="12" t="s">
        <v>133</v>
      </c>
      <c r="G18" s="22"/>
      <c r="H18" s="15">
        <f>SUM('Stmt of Fin Position-Balance Sh'!F46:F51)+'Stmt of Fin Position-Balance Sh'!F53</f>
        <v>323638.45999999996</v>
      </c>
      <c r="I18" s="14">
        <f>SUM('2023 Balance Sheet'!F44:F49)+'2023 Balance Sheet'!F51</f>
        <v>318183.42000000004</v>
      </c>
    </row>
    <row r="19" spans="1:9" x14ac:dyDescent="0.25">
      <c r="A19" s="12" t="s">
        <v>132</v>
      </c>
      <c r="B19" s="13">
        <f>'Stmt of Activities-P&amp;L'!G40</f>
        <v>15148.619999999999</v>
      </c>
      <c r="C19" s="13">
        <f>'Monthly YTD Actuals vs. Budget'!W43</f>
        <v>25958.35</v>
      </c>
      <c r="D19" s="14">
        <f>B19-C19</f>
        <v>-10809.73</v>
      </c>
      <c r="E19" s="13"/>
      <c r="F19" s="9" t="s">
        <v>137</v>
      </c>
      <c r="G19" s="10"/>
      <c r="H19" s="16">
        <f>SUM(H15:H18)</f>
        <v>384615.58999999997</v>
      </c>
      <c r="I19" s="17">
        <f>SUM(I15:I18)</f>
        <v>393874.84</v>
      </c>
    </row>
    <row r="20" spans="1:9" x14ac:dyDescent="0.25">
      <c r="A20" s="12" t="s">
        <v>134</v>
      </c>
      <c r="B20" s="13">
        <f>'Stmt of Activities-P&amp;L'!G44</f>
        <v>176.39</v>
      </c>
      <c r="C20" s="13">
        <f>'Monthly YTD Actuals vs. Budget'!W47</f>
        <v>10000</v>
      </c>
      <c r="D20" s="14">
        <f t="shared" ref="D20:D23" si="1">B20-C20</f>
        <v>-9823.61</v>
      </c>
      <c r="E20" s="13"/>
      <c r="F20" s="9" t="s">
        <v>138</v>
      </c>
      <c r="G20" s="10"/>
      <c r="H20" s="16">
        <v>0</v>
      </c>
      <c r="I20" s="17">
        <v>0</v>
      </c>
    </row>
    <row r="21" spans="1:9" x14ac:dyDescent="0.25">
      <c r="A21" s="12" t="s">
        <v>135</v>
      </c>
      <c r="B21" s="13">
        <f>'Stmt of Activities-P&amp;L'!G55</f>
        <v>187033.03999999998</v>
      </c>
      <c r="C21" s="13">
        <f>'Monthly YTD Actuals vs. Budget'!W58</f>
        <v>166503.44</v>
      </c>
      <c r="D21" s="14">
        <f t="shared" si="1"/>
        <v>20529.599999999977</v>
      </c>
      <c r="E21" s="13"/>
      <c r="F21" s="9" t="s">
        <v>140</v>
      </c>
      <c r="G21" s="22"/>
      <c r="H21" s="29">
        <f>'Stmt of Fin Position-Balance Sh'!F60</f>
        <v>515191.81</v>
      </c>
      <c r="I21" s="30">
        <f>'2023 Balance Sheet'!F58</f>
        <v>477605.33999999997</v>
      </c>
    </row>
    <row r="22" spans="1:9" ht="15.75" thickBot="1" x14ac:dyDescent="0.3">
      <c r="A22" s="12" t="s">
        <v>136</v>
      </c>
      <c r="B22" s="13">
        <f>'Stmt of Activities-P&amp;L'!G63</f>
        <v>62787.590000000004</v>
      </c>
      <c r="C22" s="13">
        <f>'Monthly YTD Actuals vs. Budget'!W66</f>
        <v>87000</v>
      </c>
      <c r="D22" s="14">
        <f t="shared" si="1"/>
        <v>-24212.409999999996</v>
      </c>
      <c r="E22" s="13"/>
      <c r="F22" s="23" t="s">
        <v>141</v>
      </c>
      <c r="G22" s="24"/>
      <c r="H22" s="50">
        <f>H19+H20+H21</f>
        <v>899807.39999999991</v>
      </c>
      <c r="I22" s="51">
        <f>I19+I20+I21</f>
        <v>871480.17999999993</v>
      </c>
    </row>
    <row r="23" spans="1:9" x14ac:dyDescent="0.25">
      <c r="A23" s="12" t="s">
        <v>139</v>
      </c>
      <c r="B23" s="13">
        <f>'Stmt of Activities-P&amp;L'!G69</f>
        <v>4636.8999999999996</v>
      </c>
      <c r="C23" s="13">
        <f>'Monthly YTD Actuals vs. Budget'!W72</f>
        <v>3375</v>
      </c>
      <c r="D23" s="14">
        <f t="shared" si="1"/>
        <v>1261.8999999999996</v>
      </c>
      <c r="E23" s="13"/>
      <c r="G23" s="3"/>
      <c r="H23" s="3">
        <f>H13-H22</f>
        <v>0</v>
      </c>
      <c r="I23" s="3">
        <f>I13-I22</f>
        <v>0</v>
      </c>
    </row>
    <row r="24" spans="1:9" ht="15" customHeight="1" x14ac:dyDescent="0.25">
      <c r="A24" s="19" t="s">
        <v>51</v>
      </c>
      <c r="B24" s="20">
        <f>SUM(B19:B23)</f>
        <v>269782.54000000004</v>
      </c>
      <c r="C24" s="20">
        <f>SUM(C19:C23)</f>
        <v>292836.79000000004</v>
      </c>
      <c r="D24" s="21">
        <f>SUM(D19:D23)</f>
        <v>-23054.250000000022</v>
      </c>
      <c r="E24" s="95"/>
      <c r="F24" s="35"/>
      <c r="G24" s="32"/>
      <c r="H24" s="32"/>
      <c r="I24" s="32"/>
    </row>
    <row r="25" spans="1:9" ht="15.75" thickBot="1" x14ac:dyDescent="0.3">
      <c r="A25" s="42" t="s">
        <v>53</v>
      </c>
      <c r="B25" s="46">
        <f>B17-B24</f>
        <v>-17770.170000000013</v>
      </c>
      <c r="C25" s="46">
        <f t="shared" ref="C25" si="2">C17-C24</f>
        <v>-40336.790000000037</v>
      </c>
      <c r="D25" s="47">
        <f>D17-D24</f>
        <v>22566.620000000039</v>
      </c>
      <c r="E25" s="95"/>
      <c r="F25" s="55"/>
      <c r="G25" s="32"/>
      <c r="H25" s="32"/>
      <c r="I25" s="32"/>
    </row>
    <row r="26" spans="1:9" x14ac:dyDescent="0.25">
      <c r="B26" s="25"/>
      <c r="C26" s="25"/>
      <c r="D26" s="25"/>
      <c r="E26" s="25"/>
      <c r="F26" s="35"/>
      <c r="G26" s="468"/>
      <c r="H26" s="32"/>
      <c r="I26" s="32"/>
    </row>
    <row r="27" spans="1:9" s="35" customFormat="1" ht="15.75" x14ac:dyDescent="0.25">
      <c r="A27" s="27" t="s">
        <v>831</v>
      </c>
      <c r="B27" s="1"/>
      <c r="C27" s="1"/>
      <c r="D27" s="36"/>
      <c r="E27" s="36"/>
      <c r="G27" s="468"/>
      <c r="H27" s="32"/>
      <c r="I27" s="32"/>
    </row>
    <row r="28" spans="1:9" x14ac:dyDescent="0.25">
      <c r="A28" s="746" t="s">
        <v>1671</v>
      </c>
    </row>
    <row r="29" spans="1:9" x14ac:dyDescent="0.25">
      <c r="A29" s="746" t="s">
        <v>1672</v>
      </c>
    </row>
    <row r="30" spans="1:9" x14ac:dyDescent="0.25">
      <c r="A30" s="746" t="s">
        <v>1673</v>
      </c>
    </row>
  </sheetData>
  <mergeCells count="14">
    <mergeCell ref="A1:I3"/>
    <mergeCell ref="F9:G9"/>
    <mergeCell ref="B4:D4"/>
    <mergeCell ref="A5:D5"/>
    <mergeCell ref="F5:I5"/>
    <mergeCell ref="F8:G8"/>
    <mergeCell ref="F15:G15"/>
    <mergeCell ref="F16:G16"/>
    <mergeCell ref="F17:G17"/>
    <mergeCell ref="F10:G10"/>
    <mergeCell ref="F11:G11"/>
    <mergeCell ref="F12:G12"/>
    <mergeCell ref="F13:G13"/>
    <mergeCell ref="F14:G14"/>
  </mergeCells>
  <printOptions horizontalCentered="1"/>
  <pageMargins left="0.25" right="0.25" top="0.75" bottom="0.75" header="0.3" footer="0.3"/>
  <pageSetup scale="8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A368-083C-490A-8BCA-A988EEBF7942}">
  <dimension ref="A1:N73"/>
  <sheetViews>
    <sheetView zoomScale="110" zoomScaleNormal="110" workbookViewId="0">
      <pane ySplit="5" topLeftCell="A6" activePane="bottomLeft" state="frozen"/>
      <selection pane="bottomLeft" activeCell="N8" sqref="N8"/>
    </sheetView>
  </sheetViews>
  <sheetFormatPr defaultRowHeight="15" x14ac:dyDescent="0.25"/>
  <cols>
    <col min="1" max="1" width="42.28515625" bestFit="1" customWidth="1"/>
    <col min="2" max="2" width="12.140625" bestFit="1" customWidth="1"/>
    <col min="3" max="4" width="11.42578125" bestFit="1" customWidth="1"/>
    <col min="5" max="6" width="12" bestFit="1" customWidth="1"/>
    <col min="7" max="7" width="11.42578125" bestFit="1" customWidth="1"/>
    <col min="8" max="9" width="12.140625" bestFit="1" customWidth="1"/>
    <col min="10" max="10" width="11.42578125" bestFit="1" customWidth="1"/>
    <col min="11" max="11" width="12.42578125" bestFit="1" customWidth="1"/>
    <col min="12" max="12" width="12.140625" bestFit="1" customWidth="1"/>
    <col min="13" max="13" width="12" bestFit="1" customWidth="1"/>
    <col min="14" max="14" width="12.42578125" bestFit="1" customWidth="1"/>
  </cols>
  <sheetData>
    <row r="1" spans="1:14" ht="18.75" x14ac:dyDescent="0.3">
      <c r="A1" s="732" t="s">
        <v>1034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</row>
    <row r="2" spans="1:14" ht="18.75" x14ac:dyDescent="0.3">
      <c r="A2" s="732" t="s">
        <v>1391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</row>
    <row r="3" spans="1:14" x14ac:dyDescent="0.25">
      <c r="A3" s="734" t="s">
        <v>1390</v>
      </c>
      <c r="B3" s="735"/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735"/>
    </row>
    <row r="5" spans="1:14" x14ac:dyDescent="0.25">
      <c r="A5" s="586"/>
      <c r="B5" s="469" t="s">
        <v>1389</v>
      </c>
      <c r="C5" s="469" t="s">
        <v>1388</v>
      </c>
      <c r="D5" s="469" t="s">
        <v>1387</v>
      </c>
      <c r="E5" s="469" t="s">
        <v>1386</v>
      </c>
      <c r="F5" s="469" t="s">
        <v>1385</v>
      </c>
      <c r="G5" s="469" t="s">
        <v>1384</v>
      </c>
      <c r="H5" s="469" t="s">
        <v>1383</v>
      </c>
      <c r="I5" s="469" t="s">
        <v>1382</v>
      </c>
      <c r="J5" s="469" t="s">
        <v>1381</v>
      </c>
      <c r="K5" s="469" t="s">
        <v>1380</v>
      </c>
      <c r="L5" s="469" t="s">
        <v>1374</v>
      </c>
      <c r="M5" s="469" t="s">
        <v>1379</v>
      </c>
      <c r="N5" s="469" t="s">
        <v>1</v>
      </c>
    </row>
    <row r="6" spans="1:14" x14ac:dyDescent="0.25">
      <c r="A6" s="39" t="s">
        <v>2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</row>
    <row r="7" spans="1:14" x14ac:dyDescent="0.25">
      <c r="A7" s="39" t="s">
        <v>3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8">
        <f t="shared" ref="N7:N28" si="0">(((((((((((B7)+(C7))+(D7))+(E7))+(F7))+(G7))+(H7))+(I7))+(J7))+(K7))+(L7))+(M7)</f>
        <v>0</v>
      </c>
    </row>
    <row r="8" spans="1:14" x14ac:dyDescent="0.25">
      <c r="A8" s="39" t="s">
        <v>4</v>
      </c>
      <c r="B8" s="588">
        <f>25000</f>
        <v>25000</v>
      </c>
      <c r="C8" s="588">
        <f>25750</f>
        <v>25750</v>
      </c>
      <c r="D8" s="588">
        <f>26500</f>
        <v>26500</v>
      </c>
      <c r="E8" s="588">
        <f>27250</f>
        <v>27250</v>
      </c>
      <c r="F8" s="588">
        <f>28000</f>
        <v>28000</v>
      </c>
      <c r="G8" s="588">
        <f>28750</f>
        <v>28750</v>
      </c>
      <c r="H8" s="588">
        <f>29500</f>
        <v>29500</v>
      </c>
      <c r="I8" s="588">
        <f>30250</f>
        <v>30250</v>
      </c>
      <c r="J8" s="588">
        <f>31000</f>
        <v>31000</v>
      </c>
      <c r="K8" s="588">
        <f>31750</f>
        <v>31750</v>
      </c>
      <c r="L8" s="588">
        <f>32500</f>
        <v>32500</v>
      </c>
      <c r="M8" s="588">
        <f>33750</f>
        <v>33750</v>
      </c>
      <c r="N8" s="588">
        <f t="shared" si="0"/>
        <v>350000</v>
      </c>
    </row>
    <row r="9" spans="1:14" x14ac:dyDescent="0.25">
      <c r="A9" s="39" t="s">
        <v>5</v>
      </c>
      <c r="B9" s="587"/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8">
        <f t="shared" si="0"/>
        <v>0</v>
      </c>
    </row>
    <row r="10" spans="1:14" x14ac:dyDescent="0.25">
      <c r="A10" s="39" t="s">
        <v>726</v>
      </c>
      <c r="B10" s="588">
        <f>0</f>
        <v>0</v>
      </c>
      <c r="C10" s="588">
        <f>0</f>
        <v>0</v>
      </c>
      <c r="D10" s="588">
        <f>0</f>
        <v>0</v>
      </c>
      <c r="E10" s="588">
        <f>0</f>
        <v>0</v>
      </c>
      <c r="F10" s="588">
        <f>0</f>
        <v>0</v>
      </c>
      <c r="G10" s="588">
        <f>0</f>
        <v>0</v>
      </c>
      <c r="H10" s="588">
        <f>0</f>
        <v>0</v>
      </c>
      <c r="I10" s="588">
        <f>0</f>
        <v>0</v>
      </c>
      <c r="J10" s="588">
        <f>0</f>
        <v>0</v>
      </c>
      <c r="K10" s="588">
        <f>10000</f>
        <v>10000</v>
      </c>
      <c r="L10" s="588">
        <f>0</f>
        <v>0</v>
      </c>
      <c r="M10" s="588">
        <f>0</f>
        <v>0</v>
      </c>
      <c r="N10" s="588">
        <f t="shared" si="0"/>
        <v>10000</v>
      </c>
    </row>
    <row r="11" spans="1:14" x14ac:dyDescent="0.25">
      <c r="A11" s="39" t="s">
        <v>727</v>
      </c>
      <c r="B11" s="588">
        <f>0</f>
        <v>0</v>
      </c>
      <c r="C11" s="588">
        <f>21250</f>
        <v>21250</v>
      </c>
      <c r="D11" s="588">
        <f>1500</f>
        <v>1500</v>
      </c>
      <c r="E11" s="588">
        <f>1500</f>
        <v>1500</v>
      </c>
      <c r="F11" s="588">
        <f>1500</f>
        <v>1500</v>
      </c>
      <c r="G11" s="588">
        <f>21250</f>
        <v>21250</v>
      </c>
      <c r="H11" s="588">
        <f>1500</f>
        <v>1500</v>
      </c>
      <c r="I11" s="588">
        <f>1500</f>
        <v>1500</v>
      </c>
      <c r="J11" s="588">
        <f>1500</f>
        <v>1500</v>
      </c>
      <c r="K11" s="588">
        <f>1500</f>
        <v>1500</v>
      </c>
      <c r="L11" s="588">
        <f>1500</f>
        <v>1500</v>
      </c>
      <c r="M11" s="588">
        <f>1500</f>
        <v>1500</v>
      </c>
      <c r="N11" s="588">
        <f t="shared" si="0"/>
        <v>56000</v>
      </c>
    </row>
    <row r="12" spans="1:14" x14ac:dyDescent="0.25">
      <c r="A12" s="39" t="s">
        <v>6</v>
      </c>
      <c r="B12" s="471">
        <f t="shared" ref="B12:M12" si="1">((B9)+(B10))+(B11)</f>
        <v>0</v>
      </c>
      <c r="C12" s="471">
        <f t="shared" si="1"/>
        <v>21250</v>
      </c>
      <c r="D12" s="471">
        <f t="shared" si="1"/>
        <v>1500</v>
      </c>
      <c r="E12" s="471">
        <f t="shared" si="1"/>
        <v>1500</v>
      </c>
      <c r="F12" s="471">
        <f t="shared" si="1"/>
        <v>1500</v>
      </c>
      <c r="G12" s="471">
        <f t="shared" si="1"/>
        <v>21250</v>
      </c>
      <c r="H12" s="471">
        <f t="shared" si="1"/>
        <v>1500</v>
      </c>
      <c r="I12" s="471">
        <f t="shared" si="1"/>
        <v>1500</v>
      </c>
      <c r="J12" s="471">
        <f t="shared" si="1"/>
        <v>1500</v>
      </c>
      <c r="K12" s="471">
        <f t="shared" si="1"/>
        <v>11500</v>
      </c>
      <c r="L12" s="471">
        <f t="shared" si="1"/>
        <v>1500</v>
      </c>
      <c r="M12" s="471">
        <f t="shared" si="1"/>
        <v>1500</v>
      </c>
      <c r="N12" s="471">
        <f t="shared" si="0"/>
        <v>66000</v>
      </c>
    </row>
    <row r="13" spans="1:14" x14ac:dyDescent="0.25">
      <c r="A13" s="39" t="s">
        <v>7</v>
      </c>
      <c r="B13" s="587"/>
      <c r="C13" s="587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8">
        <f t="shared" si="0"/>
        <v>0</v>
      </c>
    </row>
    <row r="14" spans="1:14" x14ac:dyDescent="0.25">
      <c r="A14" s="39" t="s">
        <v>728</v>
      </c>
      <c r="B14" s="588">
        <f>0</f>
        <v>0</v>
      </c>
      <c r="C14" s="588">
        <f>0</f>
        <v>0</v>
      </c>
      <c r="D14" s="588">
        <f>0</f>
        <v>0</v>
      </c>
      <c r="E14" s="588">
        <f>0</f>
        <v>0</v>
      </c>
      <c r="F14" s="588">
        <f>0</f>
        <v>0</v>
      </c>
      <c r="G14" s="588">
        <f>0</f>
        <v>0</v>
      </c>
      <c r="H14" s="588">
        <f>0</f>
        <v>0</v>
      </c>
      <c r="I14" s="588">
        <f>0</f>
        <v>0</v>
      </c>
      <c r="J14" s="588">
        <f>0</f>
        <v>0</v>
      </c>
      <c r="K14" s="588">
        <f>120000</f>
        <v>120000</v>
      </c>
      <c r="L14" s="588">
        <f>0</f>
        <v>0</v>
      </c>
      <c r="M14" s="588">
        <f>0</f>
        <v>0</v>
      </c>
      <c r="N14" s="588">
        <f t="shared" si="0"/>
        <v>120000</v>
      </c>
    </row>
    <row r="15" spans="1:14" x14ac:dyDescent="0.25">
      <c r="A15" s="39" t="s">
        <v>729</v>
      </c>
      <c r="B15" s="588">
        <f>0</f>
        <v>0</v>
      </c>
      <c r="C15" s="588">
        <f>7000</f>
        <v>7000</v>
      </c>
      <c r="D15" s="588">
        <f>32000</f>
        <v>32000</v>
      </c>
      <c r="E15" s="588">
        <f>7000</f>
        <v>7000</v>
      </c>
      <c r="F15" s="588">
        <f>7000</f>
        <v>7000</v>
      </c>
      <c r="G15" s="588">
        <f>32000</f>
        <v>32000</v>
      </c>
      <c r="H15" s="588">
        <f>3500</f>
        <v>3500</v>
      </c>
      <c r="I15" s="588">
        <f>3500</f>
        <v>3500</v>
      </c>
      <c r="J15" s="588">
        <f>32000</f>
        <v>32000</v>
      </c>
      <c r="K15" s="588">
        <f>7000</f>
        <v>7000</v>
      </c>
      <c r="L15" s="588">
        <f>7000</f>
        <v>7000</v>
      </c>
      <c r="M15" s="588">
        <f>7000</f>
        <v>7000</v>
      </c>
      <c r="N15" s="588">
        <f t="shared" si="0"/>
        <v>145000</v>
      </c>
    </row>
    <row r="16" spans="1:14" x14ac:dyDescent="0.25">
      <c r="A16" s="39" t="s">
        <v>8</v>
      </c>
      <c r="B16" s="471">
        <f t="shared" ref="B16:M16" si="2">((B13)+(B14))+(B15)</f>
        <v>0</v>
      </c>
      <c r="C16" s="471">
        <f t="shared" si="2"/>
        <v>7000</v>
      </c>
      <c r="D16" s="471">
        <f t="shared" si="2"/>
        <v>32000</v>
      </c>
      <c r="E16" s="471">
        <f t="shared" si="2"/>
        <v>7000</v>
      </c>
      <c r="F16" s="471">
        <f t="shared" si="2"/>
        <v>7000</v>
      </c>
      <c r="G16" s="471">
        <f t="shared" si="2"/>
        <v>32000</v>
      </c>
      <c r="H16" s="471">
        <f t="shared" si="2"/>
        <v>3500</v>
      </c>
      <c r="I16" s="471">
        <f t="shared" si="2"/>
        <v>3500</v>
      </c>
      <c r="J16" s="471">
        <f t="shared" si="2"/>
        <v>32000</v>
      </c>
      <c r="K16" s="471">
        <f t="shared" si="2"/>
        <v>127000</v>
      </c>
      <c r="L16" s="471">
        <f t="shared" si="2"/>
        <v>7000</v>
      </c>
      <c r="M16" s="471">
        <f t="shared" si="2"/>
        <v>7000</v>
      </c>
      <c r="N16" s="471">
        <f t="shared" si="0"/>
        <v>265000</v>
      </c>
    </row>
    <row r="17" spans="1:14" x14ac:dyDescent="0.25">
      <c r="A17" s="39" t="s">
        <v>99</v>
      </c>
      <c r="B17" s="588">
        <f>1000</f>
        <v>1000</v>
      </c>
      <c r="C17" s="588">
        <f>1000</f>
        <v>1000</v>
      </c>
      <c r="D17" s="588">
        <f>1000</f>
        <v>1000</v>
      </c>
      <c r="E17" s="588">
        <f>1000</f>
        <v>1000</v>
      </c>
      <c r="F17" s="588">
        <f>1000</f>
        <v>1000</v>
      </c>
      <c r="G17" s="588">
        <f>1000</f>
        <v>1000</v>
      </c>
      <c r="H17" s="588">
        <f>1000</f>
        <v>1000</v>
      </c>
      <c r="I17" s="588">
        <f>1000</f>
        <v>1000</v>
      </c>
      <c r="J17" s="588">
        <f>1000</f>
        <v>1000</v>
      </c>
      <c r="K17" s="588">
        <f>1000</f>
        <v>1000</v>
      </c>
      <c r="L17" s="588">
        <f>1000</f>
        <v>1000</v>
      </c>
      <c r="M17" s="588">
        <f>1000</f>
        <v>1000</v>
      </c>
      <c r="N17" s="588">
        <f t="shared" si="0"/>
        <v>12000</v>
      </c>
    </row>
    <row r="18" spans="1:14" x14ac:dyDescent="0.25">
      <c r="A18" s="39" t="s">
        <v>9</v>
      </c>
      <c r="B18" s="587"/>
      <c r="C18" s="587"/>
      <c r="D18" s="587"/>
      <c r="E18" s="587"/>
      <c r="F18" s="587"/>
      <c r="G18" s="587"/>
      <c r="H18" s="587"/>
      <c r="I18" s="587"/>
      <c r="J18" s="587"/>
      <c r="K18" s="587"/>
      <c r="L18" s="587"/>
      <c r="M18" s="587"/>
      <c r="N18" s="588">
        <f t="shared" si="0"/>
        <v>0</v>
      </c>
    </row>
    <row r="19" spans="1:14" x14ac:dyDescent="0.25">
      <c r="A19" s="39" t="s">
        <v>10</v>
      </c>
      <c r="B19" s="588">
        <f>3750</f>
        <v>3750</v>
      </c>
      <c r="C19" s="588">
        <f>3750</f>
        <v>3750</v>
      </c>
      <c r="D19" s="588">
        <f>3750</f>
        <v>3750</v>
      </c>
      <c r="E19" s="588">
        <f>3750</f>
        <v>3750</v>
      </c>
      <c r="F19" s="588">
        <f>3750</f>
        <v>3750</v>
      </c>
      <c r="G19" s="588">
        <f>3750</f>
        <v>3750</v>
      </c>
      <c r="H19" s="588">
        <f>3750</f>
        <v>3750</v>
      </c>
      <c r="I19" s="588">
        <f>3750</f>
        <v>3750</v>
      </c>
      <c r="J19" s="588">
        <f>3750</f>
        <v>3750</v>
      </c>
      <c r="K19" s="588">
        <f>3750</f>
        <v>3750</v>
      </c>
      <c r="L19" s="588">
        <f>3750</f>
        <v>3750</v>
      </c>
      <c r="M19" s="588">
        <f>3750</f>
        <v>3750</v>
      </c>
      <c r="N19" s="588">
        <f t="shared" si="0"/>
        <v>45000</v>
      </c>
    </row>
    <row r="20" spans="1:14" x14ac:dyDescent="0.25">
      <c r="A20" s="39" t="s">
        <v>11</v>
      </c>
      <c r="B20" s="588">
        <f>1250</f>
        <v>1250</v>
      </c>
      <c r="C20" s="588">
        <f>1250</f>
        <v>1250</v>
      </c>
      <c r="D20" s="588">
        <f>1250</f>
        <v>1250</v>
      </c>
      <c r="E20" s="588">
        <f>1250</f>
        <v>1250</v>
      </c>
      <c r="F20" s="588">
        <f>1250</f>
        <v>1250</v>
      </c>
      <c r="G20" s="588">
        <f>1250</f>
        <v>1250</v>
      </c>
      <c r="H20" s="588">
        <f>1250</f>
        <v>1250</v>
      </c>
      <c r="I20" s="588">
        <f>1250</f>
        <v>1250</v>
      </c>
      <c r="J20" s="588">
        <f>1250</f>
        <v>1250</v>
      </c>
      <c r="K20" s="588">
        <f>1250</f>
        <v>1250</v>
      </c>
      <c r="L20" s="588">
        <f>1250</f>
        <v>1250</v>
      </c>
      <c r="M20" s="588">
        <f>1250</f>
        <v>1250</v>
      </c>
      <c r="N20" s="588">
        <f t="shared" si="0"/>
        <v>15000</v>
      </c>
    </row>
    <row r="21" spans="1:14" x14ac:dyDescent="0.25">
      <c r="A21" s="39" t="s">
        <v>12</v>
      </c>
      <c r="B21" s="471">
        <f t="shared" ref="B21:M21" si="3">((B18)+(B19))+(B20)</f>
        <v>5000</v>
      </c>
      <c r="C21" s="471">
        <f t="shared" si="3"/>
        <v>5000</v>
      </c>
      <c r="D21" s="471">
        <f t="shared" si="3"/>
        <v>5000</v>
      </c>
      <c r="E21" s="471">
        <f t="shared" si="3"/>
        <v>5000</v>
      </c>
      <c r="F21" s="471">
        <f t="shared" si="3"/>
        <v>5000</v>
      </c>
      <c r="G21" s="471">
        <f t="shared" si="3"/>
        <v>5000</v>
      </c>
      <c r="H21" s="471">
        <f t="shared" si="3"/>
        <v>5000</v>
      </c>
      <c r="I21" s="471">
        <f t="shared" si="3"/>
        <v>5000</v>
      </c>
      <c r="J21" s="471">
        <f t="shared" si="3"/>
        <v>5000</v>
      </c>
      <c r="K21" s="471">
        <f t="shared" si="3"/>
        <v>5000</v>
      </c>
      <c r="L21" s="471">
        <f t="shared" si="3"/>
        <v>5000</v>
      </c>
      <c r="M21" s="471">
        <f t="shared" si="3"/>
        <v>5000</v>
      </c>
      <c r="N21" s="471">
        <f t="shared" si="0"/>
        <v>60000</v>
      </c>
    </row>
    <row r="22" spans="1:14" x14ac:dyDescent="0.25">
      <c r="A22" s="39" t="s">
        <v>918</v>
      </c>
      <c r="B22" s="588">
        <f>1000</f>
        <v>1000</v>
      </c>
      <c r="C22" s="588">
        <f>1000</f>
        <v>1000</v>
      </c>
      <c r="D22" s="588">
        <f>1000</f>
        <v>1000</v>
      </c>
      <c r="E22" s="588">
        <f>1000</f>
        <v>1000</v>
      </c>
      <c r="F22" s="588">
        <f>1000</f>
        <v>1000</v>
      </c>
      <c r="G22" s="588">
        <f>1000</f>
        <v>1000</v>
      </c>
      <c r="H22" s="588">
        <f>1000</f>
        <v>1000</v>
      </c>
      <c r="I22" s="588">
        <f>1000</f>
        <v>1000</v>
      </c>
      <c r="J22" s="588">
        <f>1000</f>
        <v>1000</v>
      </c>
      <c r="K22" s="588">
        <f>1000</f>
        <v>1000</v>
      </c>
      <c r="L22" s="588">
        <f>1000</f>
        <v>1000</v>
      </c>
      <c r="M22" s="588">
        <f>1000</f>
        <v>1000</v>
      </c>
      <c r="N22" s="588">
        <f t="shared" si="0"/>
        <v>12000</v>
      </c>
    </row>
    <row r="23" spans="1:14" x14ac:dyDescent="0.25">
      <c r="A23" s="39" t="s">
        <v>13</v>
      </c>
      <c r="B23" s="471">
        <f t="shared" ref="B23:M23" si="4">((((((B7)+(B8))+(B12))+(B16))+(B17))+(B21))+(B22)</f>
        <v>32000</v>
      </c>
      <c r="C23" s="471">
        <f t="shared" si="4"/>
        <v>61000</v>
      </c>
      <c r="D23" s="471">
        <f t="shared" si="4"/>
        <v>67000</v>
      </c>
      <c r="E23" s="471">
        <f t="shared" si="4"/>
        <v>42750</v>
      </c>
      <c r="F23" s="471">
        <f t="shared" si="4"/>
        <v>43500</v>
      </c>
      <c r="G23" s="471">
        <f t="shared" si="4"/>
        <v>89000</v>
      </c>
      <c r="H23" s="471">
        <f t="shared" si="4"/>
        <v>41500</v>
      </c>
      <c r="I23" s="471">
        <f t="shared" si="4"/>
        <v>42250</v>
      </c>
      <c r="J23" s="471">
        <f t="shared" si="4"/>
        <v>71500</v>
      </c>
      <c r="K23" s="471">
        <f t="shared" si="4"/>
        <v>177250</v>
      </c>
      <c r="L23" s="471">
        <f t="shared" si="4"/>
        <v>48000</v>
      </c>
      <c r="M23" s="471">
        <f t="shared" si="4"/>
        <v>49250</v>
      </c>
      <c r="N23" s="471">
        <f t="shared" si="0"/>
        <v>765000</v>
      </c>
    </row>
    <row r="24" spans="1:14" x14ac:dyDescent="0.25">
      <c r="A24" s="39" t="s">
        <v>961</v>
      </c>
      <c r="B24" s="587"/>
      <c r="C24" s="587"/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8">
        <f t="shared" si="0"/>
        <v>0</v>
      </c>
    </row>
    <row r="25" spans="1:14" x14ac:dyDescent="0.25">
      <c r="A25" s="39" t="s">
        <v>962</v>
      </c>
      <c r="B25" s="588">
        <f>1250</f>
        <v>1250</v>
      </c>
      <c r="C25" s="588">
        <f>1250</f>
        <v>1250</v>
      </c>
      <c r="D25" s="588">
        <f>1250</f>
        <v>1250</v>
      </c>
      <c r="E25" s="588">
        <f>1250</f>
        <v>1250</v>
      </c>
      <c r="F25" s="588">
        <f>1250</f>
        <v>1250</v>
      </c>
      <c r="G25" s="588">
        <f>1250</f>
        <v>1250</v>
      </c>
      <c r="H25" s="588">
        <f>1250</f>
        <v>1250</v>
      </c>
      <c r="I25" s="588">
        <f>1250</f>
        <v>1250</v>
      </c>
      <c r="J25" s="588">
        <f>1250</f>
        <v>1250</v>
      </c>
      <c r="K25" s="588">
        <f>1250</f>
        <v>1250</v>
      </c>
      <c r="L25" s="588">
        <f>1250</f>
        <v>1250</v>
      </c>
      <c r="M25" s="588">
        <f>1250</f>
        <v>1250</v>
      </c>
      <c r="N25" s="588">
        <f t="shared" si="0"/>
        <v>15000</v>
      </c>
    </row>
    <row r="26" spans="1:14" x14ac:dyDescent="0.25">
      <c r="A26" s="39" t="s">
        <v>963</v>
      </c>
      <c r="B26" s="471">
        <f t="shared" ref="B26:M26" si="5">(B24)+(B25)</f>
        <v>1250</v>
      </c>
      <c r="C26" s="471">
        <f t="shared" si="5"/>
        <v>1250</v>
      </c>
      <c r="D26" s="471">
        <f t="shared" si="5"/>
        <v>1250</v>
      </c>
      <c r="E26" s="471">
        <f t="shared" si="5"/>
        <v>1250</v>
      </c>
      <c r="F26" s="471">
        <f t="shared" si="5"/>
        <v>1250</v>
      </c>
      <c r="G26" s="471">
        <f t="shared" si="5"/>
        <v>1250</v>
      </c>
      <c r="H26" s="471">
        <f t="shared" si="5"/>
        <v>1250</v>
      </c>
      <c r="I26" s="471">
        <f t="shared" si="5"/>
        <v>1250</v>
      </c>
      <c r="J26" s="471">
        <f t="shared" si="5"/>
        <v>1250</v>
      </c>
      <c r="K26" s="471">
        <f t="shared" si="5"/>
        <v>1250</v>
      </c>
      <c r="L26" s="471">
        <f t="shared" si="5"/>
        <v>1250</v>
      </c>
      <c r="M26" s="471">
        <f t="shared" si="5"/>
        <v>1250</v>
      </c>
      <c r="N26" s="471">
        <f t="shared" si="0"/>
        <v>15000</v>
      </c>
    </row>
    <row r="27" spans="1:14" x14ac:dyDescent="0.25">
      <c r="A27" s="39" t="s">
        <v>14</v>
      </c>
      <c r="B27" s="471">
        <f t="shared" ref="B27:M27" si="6">(B23)+(B26)</f>
        <v>33250</v>
      </c>
      <c r="C27" s="471">
        <f t="shared" si="6"/>
        <v>62250</v>
      </c>
      <c r="D27" s="471">
        <f t="shared" si="6"/>
        <v>68250</v>
      </c>
      <c r="E27" s="471">
        <f t="shared" si="6"/>
        <v>44000</v>
      </c>
      <c r="F27" s="471">
        <f t="shared" si="6"/>
        <v>44750</v>
      </c>
      <c r="G27" s="471">
        <f t="shared" si="6"/>
        <v>90250</v>
      </c>
      <c r="H27" s="471">
        <f t="shared" si="6"/>
        <v>42750</v>
      </c>
      <c r="I27" s="471">
        <f t="shared" si="6"/>
        <v>43500</v>
      </c>
      <c r="J27" s="471">
        <f t="shared" si="6"/>
        <v>72750</v>
      </c>
      <c r="K27" s="471">
        <f t="shared" si="6"/>
        <v>178500</v>
      </c>
      <c r="L27" s="471">
        <f t="shared" si="6"/>
        <v>49250</v>
      </c>
      <c r="M27" s="471">
        <f t="shared" si="6"/>
        <v>50500</v>
      </c>
      <c r="N27" s="471">
        <f t="shared" si="0"/>
        <v>780000</v>
      </c>
    </row>
    <row r="28" spans="1:14" x14ac:dyDescent="0.25">
      <c r="A28" s="39" t="s">
        <v>15</v>
      </c>
      <c r="B28" s="471">
        <f t="shared" ref="B28:M28" si="7">(B27)-(0)</f>
        <v>33250</v>
      </c>
      <c r="C28" s="471">
        <f t="shared" si="7"/>
        <v>62250</v>
      </c>
      <c r="D28" s="471">
        <f t="shared" si="7"/>
        <v>68250</v>
      </c>
      <c r="E28" s="471">
        <f t="shared" si="7"/>
        <v>44000</v>
      </c>
      <c r="F28" s="471">
        <f t="shared" si="7"/>
        <v>44750</v>
      </c>
      <c r="G28" s="471">
        <f t="shared" si="7"/>
        <v>90250</v>
      </c>
      <c r="H28" s="471">
        <f t="shared" si="7"/>
        <v>42750</v>
      </c>
      <c r="I28" s="471">
        <f t="shared" si="7"/>
        <v>43500</v>
      </c>
      <c r="J28" s="471">
        <f t="shared" si="7"/>
        <v>72750</v>
      </c>
      <c r="K28" s="471">
        <f t="shared" si="7"/>
        <v>178500</v>
      </c>
      <c r="L28" s="471">
        <f t="shared" si="7"/>
        <v>49250</v>
      </c>
      <c r="M28" s="471">
        <f t="shared" si="7"/>
        <v>50500</v>
      </c>
      <c r="N28" s="471">
        <f t="shared" si="0"/>
        <v>780000</v>
      </c>
    </row>
    <row r="29" spans="1:14" x14ac:dyDescent="0.25">
      <c r="A29" s="39" t="s">
        <v>16</v>
      </c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</row>
    <row r="30" spans="1:14" x14ac:dyDescent="0.25">
      <c r="A30" s="39" t="s">
        <v>17</v>
      </c>
      <c r="B30" s="587"/>
      <c r="C30" s="587"/>
      <c r="D30" s="587"/>
      <c r="E30" s="587"/>
      <c r="F30" s="587"/>
      <c r="G30" s="587"/>
      <c r="H30" s="587"/>
      <c r="I30" s="587"/>
      <c r="J30" s="587"/>
      <c r="K30" s="587"/>
      <c r="L30" s="587"/>
      <c r="M30" s="587"/>
      <c r="N30" s="588">
        <f t="shared" ref="N30:N73" si="8">(((((((((((B30)+(C30))+(D30))+(E30))+(F30))+(G30))+(H30))+(I30))+(J30))+(K30))+(L30))+(M30)</f>
        <v>0</v>
      </c>
    </row>
    <row r="31" spans="1:14" x14ac:dyDescent="0.25">
      <c r="A31" s="39" t="s">
        <v>18</v>
      </c>
      <c r="B31" s="587"/>
      <c r="C31" s="587"/>
      <c r="D31" s="587"/>
      <c r="E31" s="587"/>
      <c r="F31" s="587"/>
      <c r="G31" s="587"/>
      <c r="H31" s="587"/>
      <c r="I31" s="587"/>
      <c r="J31" s="587"/>
      <c r="K31" s="587"/>
      <c r="L31" s="587"/>
      <c r="M31" s="587"/>
      <c r="N31" s="588">
        <f t="shared" si="8"/>
        <v>0</v>
      </c>
    </row>
    <row r="32" spans="1:14" x14ac:dyDescent="0.25">
      <c r="A32" s="39" t="s">
        <v>19</v>
      </c>
      <c r="B32" s="588">
        <f>175</f>
        <v>175</v>
      </c>
      <c r="C32" s="588">
        <f>175</f>
        <v>175</v>
      </c>
      <c r="D32" s="588">
        <f>175</f>
        <v>175</v>
      </c>
      <c r="E32" s="588">
        <f>175</f>
        <v>175</v>
      </c>
      <c r="F32" s="588">
        <f>175</f>
        <v>175</v>
      </c>
      <c r="G32" s="588">
        <f>175</f>
        <v>175</v>
      </c>
      <c r="H32" s="588">
        <f>175</f>
        <v>175</v>
      </c>
      <c r="I32" s="588">
        <f>175</f>
        <v>175</v>
      </c>
      <c r="J32" s="588">
        <f>175</f>
        <v>175</v>
      </c>
      <c r="K32" s="588">
        <f>175</f>
        <v>175</v>
      </c>
      <c r="L32" s="588">
        <f>175</f>
        <v>175</v>
      </c>
      <c r="M32" s="588">
        <f>175</f>
        <v>175</v>
      </c>
      <c r="N32" s="588">
        <f t="shared" si="8"/>
        <v>2100</v>
      </c>
    </row>
    <row r="33" spans="1:14" x14ac:dyDescent="0.25">
      <c r="A33" s="39" t="s">
        <v>20</v>
      </c>
      <c r="B33" s="588">
        <f>300</f>
        <v>300</v>
      </c>
      <c r="C33" s="588">
        <f>300</f>
        <v>300</v>
      </c>
      <c r="D33" s="588">
        <f>300</f>
        <v>300</v>
      </c>
      <c r="E33" s="588">
        <f>300</f>
        <v>300</v>
      </c>
      <c r="F33" s="588">
        <f>300</f>
        <v>300</v>
      </c>
      <c r="G33" s="588">
        <f>300</f>
        <v>300</v>
      </c>
      <c r="H33" s="588">
        <f>300</f>
        <v>300</v>
      </c>
      <c r="I33" s="588">
        <f>300</f>
        <v>300</v>
      </c>
      <c r="J33" s="588">
        <f>300</f>
        <v>300</v>
      </c>
      <c r="K33" s="588">
        <f>300</f>
        <v>300</v>
      </c>
      <c r="L33" s="588">
        <f>300</f>
        <v>300</v>
      </c>
      <c r="M33" s="588">
        <f>300</f>
        <v>300</v>
      </c>
      <c r="N33" s="588">
        <f t="shared" si="8"/>
        <v>3600</v>
      </c>
    </row>
    <row r="34" spans="1:14" x14ac:dyDescent="0.25">
      <c r="A34" s="39" t="s">
        <v>21</v>
      </c>
      <c r="B34" s="588">
        <f>100</f>
        <v>100</v>
      </c>
      <c r="C34" s="588">
        <f>100</f>
        <v>100</v>
      </c>
      <c r="D34" s="588">
        <f>100</f>
        <v>100</v>
      </c>
      <c r="E34" s="588">
        <f>100</f>
        <v>100</v>
      </c>
      <c r="F34" s="588">
        <f>100</f>
        <v>100</v>
      </c>
      <c r="G34" s="588">
        <f>100</f>
        <v>100</v>
      </c>
      <c r="H34" s="588">
        <f>100</f>
        <v>100</v>
      </c>
      <c r="I34" s="588">
        <f>100</f>
        <v>100</v>
      </c>
      <c r="J34" s="588">
        <f>100</f>
        <v>100</v>
      </c>
      <c r="K34" s="588">
        <f>100</f>
        <v>100</v>
      </c>
      <c r="L34" s="588">
        <f>100</f>
        <v>100</v>
      </c>
      <c r="M34" s="588">
        <f>100</f>
        <v>100</v>
      </c>
      <c r="N34" s="588">
        <f t="shared" si="8"/>
        <v>1200</v>
      </c>
    </row>
    <row r="35" spans="1:14" x14ac:dyDescent="0.25">
      <c r="A35" s="39" t="s">
        <v>22</v>
      </c>
      <c r="B35" s="471">
        <f t="shared" ref="B35:M35" si="9">(((B31)+(B32))+(B33))+(B34)</f>
        <v>575</v>
      </c>
      <c r="C35" s="471">
        <f t="shared" si="9"/>
        <v>575</v>
      </c>
      <c r="D35" s="471">
        <f t="shared" si="9"/>
        <v>575</v>
      </c>
      <c r="E35" s="471">
        <f t="shared" si="9"/>
        <v>575</v>
      </c>
      <c r="F35" s="471">
        <f t="shared" si="9"/>
        <v>575</v>
      </c>
      <c r="G35" s="471">
        <f t="shared" si="9"/>
        <v>575</v>
      </c>
      <c r="H35" s="471">
        <f t="shared" si="9"/>
        <v>575</v>
      </c>
      <c r="I35" s="471">
        <f t="shared" si="9"/>
        <v>575</v>
      </c>
      <c r="J35" s="471">
        <f t="shared" si="9"/>
        <v>575</v>
      </c>
      <c r="K35" s="471">
        <f t="shared" si="9"/>
        <v>575</v>
      </c>
      <c r="L35" s="471">
        <f t="shared" si="9"/>
        <v>575</v>
      </c>
      <c r="M35" s="471">
        <f t="shared" si="9"/>
        <v>575</v>
      </c>
      <c r="N35" s="471">
        <f t="shared" si="8"/>
        <v>6900</v>
      </c>
    </row>
    <row r="36" spans="1:14" x14ac:dyDescent="0.25">
      <c r="A36" s="39" t="s">
        <v>23</v>
      </c>
      <c r="B36" s="588">
        <f>1500</f>
        <v>1500</v>
      </c>
      <c r="C36" s="588">
        <f>1500</f>
        <v>1500</v>
      </c>
      <c r="D36" s="588">
        <f>1500</f>
        <v>1500</v>
      </c>
      <c r="E36" s="588">
        <f>1500</f>
        <v>1500</v>
      </c>
      <c r="F36" s="588">
        <f>1500</f>
        <v>1500</v>
      </c>
      <c r="G36" s="588">
        <f>1500</f>
        <v>1500</v>
      </c>
      <c r="H36" s="588">
        <f>1500</f>
        <v>1500</v>
      </c>
      <c r="I36" s="588">
        <f>1500</f>
        <v>1500</v>
      </c>
      <c r="J36" s="588">
        <f>1500</f>
        <v>1500</v>
      </c>
      <c r="K36" s="588">
        <f>1500</f>
        <v>1500</v>
      </c>
      <c r="L36" s="588">
        <f>1500</f>
        <v>1500</v>
      </c>
      <c r="M36" s="588">
        <f>1500</f>
        <v>1500</v>
      </c>
      <c r="N36" s="588">
        <f t="shared" si="8"/>
        <v>18000</v>
      </c>
    </row>
    <row r="37" spans="1:14" x14ac:dyDescent="0.25">
      <c r="A37" s="39" t="s">
        <v>1450</v>
      </c>
      <c r="B37" s="588">
        <f t="shared" ref="B37:L37" si="10">1166.67</f>
        <v>1166.67</v>
      </c>
      <c r="C37" s="588">
        <f t="shared" si="10"/>
        <v>1166.67</v>
      </c>
      <c r="D37" s="588">
        <f t="shared" si="10"/>
        <v>1166.67</v>
      </c>
      <c r="E37" s="588">
        <f t="shared" si="10"/>
        <v>1166.67</v>
      </c>
      <c r="F37" s="588">
        <f t="shared" si="10"/>
        <v>1166.67</v>
      </c>
      <c r="G37" s="588">
        <f t="shared" si="10"/>
        <v>1166.67</v>
      </c>
      <c r="H37" s="588">
        <f t="shared" si="10"/>
        <v>1166.67</v>
      </c>
      <c r="I37" s="588">
        <f t="shared" si="10"/>
        <v>1166.67</v>
      </c>
      <c r="J37" s="588">
        <f t="shared" si="10"/>
        <v>1166.67</v>
      </c>
      <c r="K37" s="588">
        <f t="shared" si="10"/>
        <v>1166.67</v>
      </c>
      <c r="L37" s="588">
        <f t="shared" si="10"/>
        <v>1166.67</v>
      </c>
      <c r="M37" s="588">
        <f>1166.63</f>
        <v>1166.6300000000001</v>
      </c>
      <c r="N37" s="588">
        <f t="shared" si="8"/>
        <v>14000</v>
      </c>
    </row>
    <row r="38" spans="1:14" x14ac:dyDescent="0.25">
      <c r="A38" s="39" t="s">
        <v>24</v>
      </c>
      <c r="B38" s="588">
        <f>1250</f>
        <v>1250</v>
      </c>
      <c r="C38" s="588">
        <f>1250</f>
        <v>1250</v>
      </c>
      <c r="D38" s="588">
        <f>1250</f>
        <v>1250</v>
      </c>
      <c r="E38" s="588">
        <f>1250</f>
        <v>1250</v>
      </c>
      <c r="F38" s="588">
        <f>1250</f>
        <v>1250</v>
      </c>
      <c r="G38" s="588">
        <f>1250</f>
        <v>1250</v>
      </c>
      <c r="H38" s="588">
        <f>1250</f>
        <v>1250</v>
      </c>
      <c r="I38" s="588">
        <f>1250</f>
        <v>1250</v>
      </c>
      <c r="J38" s="588">
        <f>1250</f>
        <v>1250</v>
      </c>
      <c r="K38" s="588">
        <f>1250</f>
        <v>1250</v>
      </c>
      <c r="L38" s="588">
        <f>1250</f>
        <v>1250</v>
      </c>
      <c r="M38" s="588">
        <f>1250</f>
        <v>1250</v>
      </c>
      <c r="N38" s="588">
        <f t="shared" si="8"/>
        <v>15000</v>
      </c>
    </row>
    <row r="39" spans="1:14" x14ac:dyDescent="0.25">
      <c r="A39" s="39" t="s">
        <v>25</v>
      </c>
      <c r="B39" s="588">
        <f>600</f>
        <v>600</v>
      </c>
      <c r="C39" s="588">
        <f>600</f>
        <v>600</v>
      </c>
      <c r="D39" s="588">
        <f>600</f>
        <v>600</v>
      </c>
      <c r="E39" s="588">
        <f>600</f>
        <v>600</v>
      </c>
      <c r="F39" s="588">
        <f>600</f>
        <v>600</v>
      </c>
      <c r="G39" s="588">
        <f>600</f>
        <v>600</v>
      </c>
      <c r="H39" s="588">
        <f>600</f>
        <v>600</v>
      </c>
      <c r="I39" s="588">
        <f>600</f>
        <v>600</v>
      </c>
      <c r="J39" s="588">
        <f>600</f>
        <v>600</v>
      </c>
      <c r="K39" s="588">
        <f>600</f>
        <v>600</v>
      </c>
      <c r="L39" s="588">
        <f>600</f>
        <v>600</v>
      </c>
      <c r="M39" s="588">
        <f>600</f>
        <v>600</v>
      </c>
      <c r="N39" s="588">
        <f t="shared" si="8"/>
        <v>7200</v>
      </c>
    </row>
    <row r="40" spans="1:14" x14ac:dyDescent="0.25">
      <c r="A40" s="39" t="s">
        <v>26</v>
      </c>
      <c r="B40" s="588">
        <f>100</f>
        <v>100</v>
      </c>
      <c r="C40" s="588">
        <f>100</f>
        <v>100</v>
      </c>
      <c r="D40" s="588">
        <f>100</f>
        <v>100</v>
      </c>
      <c r="E40" s="588">
        <f>100</f>
        <v>100</v>
      </c>
      <c r="F40" s="588">
        <f>100</f>
        <v>100</v>
      </c>
      <c r="G40" s="588">
        <f>100</f>
        <v>100</v>
      </c>
      <c r="H40" s="588">
        <f>100</f>
        <v>100</v>
      </c>
      <c r="I40" s="588">
        <f>100</f>
        <v>100</v>
      </c>
      <c r="J40" s="588">
        <f>100</f>
        <v>100</v>
      </c>
      <c r="K40" s="588">
        <f>100</f>
        <v>100</v>
      </c>
      <c r="L40" s="588">
        <f>100</f>
        <v>100</v>
      </c>
      <c r="M40" s="588">
        <f>100</f>
        <v>100</v>
      </c>
      <c r="N40" s="588">
        <f t="shared" si="8"/>
        <v>1200</v>
      </c>
    </row>
    <row r="41" spans="1:14" x14ac:dyDescent="0.25">
      <c r="A41" s="39" t="s">
        <v>27</v>
      </c>
      <c r="B41" s="471">
        <f t="shared" ref="B41:M41" si="11">((((((B30)+(B35))+(B36))+(B37))+(B38))+(B39))+(B40)</f>
        <v>5191.67</v>
      </c>
      <c r="C41" s="471">
        <f t="shared" si="11"/>
        <v>5191.67</v>
      </c>
      <c r="D41" s="471">
        <f t="shared" si="11"/>
        <v>5191.67</v>
      </c>
      <c r="E41" s="471">
        <f t="shared" si="11"/>
        <v>5191.67</v>
      </c>
      <c r="F41" s="471">
        <f t="shared" si="11"/>
        <v>5191.67</v>
      </c>
      <c r="G41" s="471">
        <f t="shared" si="11"/>
        <v>5191.67</v>
      </c>
      <c r="H41" s="471">
        <f t="shared" si="11"/>
        <v>5191.67</v>
      </c>
      <c r="I41" s="471">
        <f t="shared" si="11"/>
        <v>5191.67</v>
      </c>
      <c r="J41" s="471">
        <f t="shared" si="11"/>
        <v>5191.67</v>
      </c>
      <c r="K41" s="471">
        <f t="shared" si="11"/>
        <v>5191.67</v>
      </c>
      <c r="L41" s="471">
        <f t="shared" si="11"/>
        <v>5191.67</v>
      </c>
      <c r="M41" s="471">
        <f t="shared" si="11"/>
        <v>5191.63</v>
      </c>
      <c r="N41" s="471">
        <f t="shared" si="8"/>
        <v>62299.999999999985</v>
      </c>
    </row>
    <row r="42" spans="1:14" x14ac:dyDescent="0.25">
      <c r="A42" s="39" t="s">
        <v>28</v>
      </c>
      <c r="B42" s="587"/>
      <c r="C42" s="587"/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8">
        <f t="shared" si="8"/>
        <v>0</v>
      </c>
    </row>
    <row r="43" spans="1:14" x14ac:dyDescent="0.25">
      <c r="A43" s="39" t="s">
        <v>613</v>
      </c>
      <c r="B43" s="588">
        <f>0</f>
        <v>0</v>
      </c>
      <c r="C43" s="588">
        <f>0</f>
        <v>0</v>
      </c>
      <c r="D43" s="588">
        <f>10000</f>
        <v>10000</v>
      </c>
      <c r="E43" s="588">
        <f>0</f>
        <v>0</v>
      </c>
      <c r="F43" s="588">
        <f>0</f>
        <v>0</v>
      </c>
      <c r="G43" s="588">
        <f>10000</f>
        <v>10000</v>
      </c>
      <c r="H43" s="588">
        <f>0</f>
        <v>0</v>
      </c>
      <c r="I43" s="588">
        <f>0</f>
        <v>0</v>
      </c>
      <c r="J43" s="588">
        <f>10000</f>
        <v>10000</v>
      </c>
      <c r="K43" s="588">
        <f>0</f>
        <v>0</v>
      </c>
      <c r="L43" s="588">
        <f>0</f>
        <v>0</v>
      </c>
      <c r="M43" s="588">
        <f>0</f>
        <v>0</v>
      </c>
      <c r="N43" s="588">
        <f t="shared" si="8"/>
        <v>30000</v>
      </c>
    </row>
    <row r="44" spans="1:14" x14ac:dyDescent="0.25">
      <c r="A44" s="39" t="s">
        <v>1378</v>
      </c>
      <c r="B44" s="588">
        <f>0</f>
        <v>0</v>
      </c>
      <c r="C44" s="588">
        <f>0</f>
        <v>0</v>
      </c>
      <c r="D44" s="588">
        <f>0</f>
        <v>0</v>
      </c>
      <c r="E44" s="588">
        <f>0</f>
        <v>0</v>
      </c>
      <c r="F44" s="588">
        <f>0</f>
        <v>0</v>
      </c>
      <c r="G44" s="588">
        <f>0</f>
        <v>0</v>
      </c>
      <c r="H44" s="588">
        <f>0</f>
        <v>0</v>
      </c>
      <c r="I44" s="588">
        <f>0</f>
        <v>0</v>
      </c>
      <c r="J44" s="588">
        <f>0</f>
        <v>0</v>
      </c>
      <c r="K44" s="588">
        <f>30000</f>
        <v>30000</v>
      </c>
      <c r="L44" s="588">
        <f>0</f>
        <v>0</v>
      </c>
      <c r="M44" s="588">
        <f>0</f>
        <v>0</v>
      </c>
      <c r="N44" s="588">
        <f t="shared" si="8"/>
        <v>30000</v>
      </c>
    </row>
    <row r="45" spans="1:14" x14ac:dyDescent="0.25">
      <c r="A45" s="39" t="s">
        <v>29</v>
      </c>
      <c r="B45" s="471">
        <f t="shared" ref="B45:M45" si="12">((B42)+(B43))+(B44)</f>
        <v>0</v>
      </c>
      <c r="C45" s="471">
        <f t="shared" si="12"/>
        <v>0</v>
      </c>
      <c r="D45" s="471">
        <f t="shared" si="12"/>
        <v>10000</v>
      </c>
      <c r="E45" s="471">
        <f t="shared" si="12"/>
        <v>0</v>
      </c>
      <c r="F45" s="471">
        <f t="shared" si="12"/>
        <v>0</v>
      </c>
      <c r="G45" s="471">
        <f t="shared" si="12"/>
        <v>10000</v>
      </c>
      <c r="H45" s="471">
        <f t="shared" si="12"/>
        <v>0</v>
      </c>
      <c r="I45" s="471">
        <f t="shared" si="12"/>
        <v>0</v>
      </c>
      <c r="J45" s="471">
        <f t="shared" si="12"/>
        <v>10000</v>
      </c>
      <c r="K45" s="471">
        <f t="shared" si="12"/>
        <v>30000</v>
      </c>
      <c r="L45" s="471">
        <f t="shared" si="12"/>
        <v>0</v>
      </c>
      <c r="M45" s="471">
        <f t="shared" si="12"/>
        <v>0</v>
      </c>
      <c r="N45" s="471">
        <f t="shared" si="8"/>
        <v>60000</v>
      </c>
    </row>
    <row r="46" spans="1:14" x14ac:dyDescent="0.25">
      <c r="A46" s="39" t="s">
        <v>30</v>
      </c>
      <c r="B46" s="587"/>
      <c r="C46" s="587"/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8">
        <f t="shared" si="8"/>
        <v>0</v>
      </c>
    </row>
    <row r="47" spans="1:14" x14ac:dyDescent="0.25">
      <c r="A47" s="39" t="s">
        <v>31</v>
      </c>
      <c r="B47" s="588">
        <f>400</f>
        <v>400</v>
      </c>
      <c r="C47" s="588">
        <f>400</f>
        <v>400</v>
      </c>
      <c r="D47" s="588">
        <f>400</f>
        <v>400</v>
      </c>
      <c r="E47" s="588">
        <f>400</f>
        <v>400</v>
      </c>
      <c r="F47" s="588">
        <f>400</f>
        <v>400</v>
      </c>
      <c r="G47" s="588">
        <f>400</f>
        <v>400</v>
      </c>
      <c r="H47" s="588">
        <f>400</f>
        <v>400</v>
      </c>
      <c r="I47" s="588">
        <f>400</f>
        <v>400</v>
      </c>
      <c r="J47" s="588">
        <f>400</f>
        <v>400</v>
      </c>
      <c r="K47" s="588">
        <f>400</f>
        <v>400</v>
      </c>
      <c r="L47" s="588">
        <f>400</f>
        <v>400</v>
      </c>
      <c r="M47" s="588">
        <f>400</f>
        <v>400</v>
      </c>
      <c r="N47" s="588">
        <f t="shared" si="8"/>
        <v>4800</v>
      </c>
    </row>
    <row r="48" spans="1:14" x14ac:dyDescent="0.25">
      <c r="A48" s="39" t="s">
        <v>1150</v>
      </c>
      <c r="B48" s="588">
        <f>1000</f>
        <v>1000</v>
      </c>
      <c r="C48" s="588">
        <f>1000</f>
        <v>1000</v>
      </c>
      <c r="D48" s="588">
        <f>1000</f>
        <v>1000</v>
      </c>
      <c r="E48" s="588">
        <f>1000</f>
        <v>1000</v>
      </c>
      <c r="F48" s="588">
        <f>1000</f>
        <v>1000</v>
      </c>
      <c r="G48" s="588">
        <f>1000</f>
        <v>1000</v>
      </c>
      <c r="H48" s="588">
        <f>1000</f>
        <v>1000</v>
      </c>
      <c r="I48" s="588">
        <f>1000</f>
        <v>1000</v>
      </c>
      <c r="J48" s="588">
        <f>1000</f>
        <v>1000</v>
      </c>
      <c r="K48" s="588">
        <f>1000</f>
        <v>1000</v>
      </c>
      <c r="L48" s="588">
        <f>1000</f>
        <v>1000</v>
      </c>
      <c r="M48" s="588">
        <f>1000</f>
        <v>1000</v>
      </c>
      <c r="N48" s="588">
        <f t="shared" si="8"/>
        <v>12000</v>
      </c>
    </row>
    <row r="49" spans="1:14" x14ac:dyDescent="0.25">
      <c r="A49" s="39" t="s">
        <v>32</v>
      </c>
      <c r="B49" s="588">
        <f>2329.88</f>
        <v>2329.88</v>
      </c>
      <c r="C49" s="588">
        <f>4083.32</f>
        <v>4083.32</v>
      </c>
      <c r="D49" s="588">
        <f t="shared" ref="D49:M49" si="13">1867.88</f>
        <v>1867.88</v>
      </c>
      <c r="E49" s="588">
        <f t="shared" si="13"/>
        <v>1867.88</v>
      </c>
      <c r="F49" s="588">
        <f t="shared" si="13"/>
        <v>1867.88</v>
      </c>
      <c r="G49" s="588">
        <f t="shared" si="13"/>
        <v>1867.88</v>
      </c>
      <c r="H49" s="588">
        <f t="shared" si="13"/>
        <v>1867.88</v>
      </c>
      <c r="I49" s="588">
        <f t="shared" si="13"/>
        <v>1867.88</v>
      </c>
      <c r="J49" s="588">
        <f t="shared" si="13"/>
        <v>1867.88</v>
      </c>
      <c r="K49" s="588">
        <f t="shared" si="13"/>
        <v>1867.88</v>
      </c>
      <c r="L49" s="588">
        <f t="shared" si="13"/>
        <v>1867.88</v>
      </c>
      <c r="M49" s="588">
        <f t="shared" si="13"/>
        <v>1867.88</v>
      </c>
      <c r="N49" s="588">
        <f t="shared" si="8"/>
        <v>25092.000000000011</v>
      </c>
    </row>
    <row r="50" spans="1:14" x14ac:dyDescent="0.25">
      <c r="A50" s="39" t="s">
        <v>33</v>
      </c>
      <c r="B50" s="588">
        <f>22750</f>
        <v>22750</v>
      </c>
      <c r="C50" s="588">
        <f>22750</f>
        <v>22750</v>
      </c>
      <c r="D50" s="588">
        <f>22750</f>
        <v>22750</v>
      </c>
      <c r="E50" s="588">
        <f>22750</f>
        <v>22750</v>
      </c>
      <c r="F50" s="588">
        <f>22750</f>
        <v>22750</v>
      </c>
      <c r="G50" s="588">
        <f>22750</f>
        <v>22750</v>
      </c>
      <c r="H50" s="588">
        <f>22750</f>
        <v>22750</v>
      </c>
      <c r="I50" s="588">
        <f>22750</f>
        <v>22750</v>
      </c>
      <c r="J50" s="588">
        <f>22750</f>
        <v>22750</v>
      </c>
      <c r="K50" s="588">
        <f>22750</f>
        <v>22750</v>
      </c>
      <c r="L50" s="588">
        <f>22750</f>
        <v>22750</v>
      </c>
      <c r="M50" s="588">
        <f>22750</f>
        <v>22750</v>
      </c>
      <c r="N50" s="588">
        <f t="shared" si="8"/>
        <v>273000</v>
      </c>
    </row>
    <row r="51" spans="1:14" x14ac:dyDescent="0.25">
      <c r="A51" s="39" t="s">
        <v>34</v>
      </c>
      <c r="B51" s="588">
        <f t="shared" ref="B51:M51" si="14">1734.63</f>
        <v>1734.63</v>
      </c>
      <c r="C51" s="588">
        <f t="shared" si="14"/>
        <v>1734.63</v>
      </c>
      <c r="D51" s="588">
        <f t="shared" si="14"/>
        <v>1734.63</v>
      </c>
      <c r="E51" s="588">
        <f t="shared" si="14"/>
        <v>1734.63</v>
      </c>
      <c r="F51" s="588">
        <f t="shared" si="14"/>
        <v>1734.63</v>
      </c>
      <c r="G51" s="588">
        <f t="shared" si="14"/>
        <v>1734.63</v>
      </c>
      <c r="H51" s="588">
        <f t="shared" si="14"/>
        <v>1734.63</v>
      </c>
      <c r="I51" s="588">
        <f t="shared" si="14"/>
        <v>1734.63</v>
      </c>
      <c r="J51" s="588">
        <f t="shared" si="14"/>
        <v>1734.63</v>
      </c>
      <c r="K51" s="588">
        <f t="shared" si="14"/>
        <v>1734.63</v>
      </c>
      <c r="L51" s="588">
        <f t="shared" si="14"/>
        <v>1734.63</v>
      </c>
      <c r="M51" s="588">
        <f t="shared" si="14"/>
        <v>1734.63</v>
      </c>
      <c r="N51" s="588">
        <f t="shared" si="8"/>
        <v>20815.560000000009</v>
      </c>
    </row>
    <row r="52" spans="1:14" x14ac:dyDescent="0.25">
      <c r="A52" s="39" t="s">
        <v>35</v>
      </c>
      <c r="B52" s="588">
        <f t="shared" ref="B52:M52" si="15">1462.69</f>
        <v>1462.69</v>
      </c>
      <c r="C52" s="588">
        <f t="shared" si="15"/>
        <v>1462.69</v>
      </c>
      <c r="D52" s="588">
        <f t="shared" si="15"/>
        <v>1462.69</v>
      </c>
      <c r="E52" s="588">
        <f t="shared" si="15"/>
        <v>1462.69</v>
      </c>
      <c r="F52" s="588">
        <f t="shared" si="15"/>
        <v>1462.69</v>
      </c>
      <c r="G52" s="588">
        <f t="shared" si="15"/>
        <v>1462.69</v>
      </c>
      <c r="H52" s="588">
        <f t="shared" si="15"/>
        <v>1462.69</v>
      </c>
      <c r="I52" s="588">
        <f t="shared" si="15"/>
        <v>1462.69</v>
      </c>
      <c r="J52" s="588">
        <f t="shared" si="15"/>
        <v>1462.69</v>
      </c>
      <c r="K52" s="588">
        <f t="shared" si="15"/>
        <v>1462.69</v>
      </c>
      <c r="L52" s="588">
        <f t="shared" si="15"/>
        <v>1462.69</v>
      </c>
      <c r="M52" s="588">
        <f t="shared" si="15"/>
        <v>1462.69</v>
      </c>
      <c r="N52" s="588">
        <f t="shared" si="8"/>
        <v>17552.280000000002</v>
      </c>
    </row>
    <row r="53" spans="1:14" x14ac:dyDescent="0.25">
      <c r="A53" s="39" t="s">
        <v>36</v>
      </c>
      <c r="B53" s="588">
        <f>2000</f>
        <v>2000</v>
      </c>
      <c r="C53" s="588">
        <f>2000</f>
        <v>2000</v>
      </c>
      <c r="D53" s="588">
        <f>2000</f>
        <v>2000</v>
      </c>
      <c r="E53" s="588">
        <f>2000</f>
        <v>2000</v>
      </c>
      <c r="F53" s="588">
        <f>2000</f>
        <v>2000</v>
      </c>
      <c r="G53" s="588">
        <f>2000</f>
        <v>2000</v>
      </c>
      <c r="H53" s="588">
        <f>2000</f>
        <v>2000</v>
      </c>
      <c r="I53" s="588">
        <f>2000</f>
        <v>2000</v>
      </c>
      <c r="J53" s="588">
        <f>2000</f>
        <v>2000</v>
      </c>
      <c r="K53" s="588">
        <f>2000</f>
        <v>2000</v>
      </c>
      <c r="L53" s="588">
        <f>2000</f>
        <v>2000</v>
      </c>
      <c r="M53" s="588">
        <f>2000</f>
        <v>2000</v>
      </c>
      <c r="N53" s="588">
        <f t="shared" si="8"/>
        <v>24000</v>
      </c>
    </row>
    <row r="54" spans="1:14" x14ac:dyDescent="0.25">
      <c r="A54" s="39" t="s">
        <v>37</v>
      </c>
      <c r="B54" s="588">
        <f>300</f>
        <v>300</v>
      </c>
      <c r="C54" s="588">
        <f>300</f>
        <v>300</v>
      </c>
      <c r="D54" s="588">
        <f>300</f>
        <v>300</v>
      </c>
      <c r="E54" s="588">
        <f>300</f>
        <v>300</v>
      </c>
      <c r="F54" s="588">
        <f>300</f>
        <v>300</v>
      </c>
      <c r="G54" s="588">
        <f>300</f>
        <v>300</v>
      </c>
      <c r="H54" s="588">
        <f>300</f>
        <v>300</v>
      </c>
      <c r="I54" s="588">
        <f>300</f>
        <v>300</v>
      </c>
      <c r="J54" s="588">
        <f>300</f>
        <v>300</v>
      </c>
      <c r="K54" s="588">
        <f>300</f>
        <v>300</v>
      </c>
      <c r="L54" s="588">
        <f>300</f>
        <v>300</v>
      </c>
      <c r="M54" s="588">
        <f>300</f>
        <v>300</v>
      </c>
      <c r="N54" s="588">
        <f t="shared" si="8"/>
        <v>3600</v>
      </c>
    </row>
    <row r="55" spans="1:14" x14ac:dyDescent="0.25">
      <c r="A55" s="39" t="s">
        <v>885</v>
      </c>
      <c r="B55" s="588">
        <f>1250</f>
        <v>1250</v>
      </c>
      <c r="C55" s="588">
        <f>1250</f>
        <v>1250</v>
      </c>
      <c r="D55" s="588">
        <f>1250</f>
        <v>1250</v>
      </c>
      <c r="E55" s="588">
        <f>1250</f>
        <v>1250</v>
      </c>
      <c r="F55" s="588">
        <f>1250</f>
        <v>1250</v>
      </c>
      <c r="G55" s="588">
        <f>1250</f>
        <v>1250</v>
      </c>
      <c r="H55" s="588">
        <f>1250</f>
        <v>1250</v>
      </c>
      <c r="I55" s="588">
        <f>1250</f>
        <v>1250</v>
      </c>
      <c r="J55" s="588">
        <f>1250</f>
        <v>1250</v>
      </c>
      <c r="K55" s="588">
        <f>1250</f>
        <v>1250</v>
      </c>
      <c r="L55" s="588">
        <f>1250</f>
        <v>1250</v>
      </c>
      <c r="M55" s="588">
        <f>1250</f>
        <v>1250</v>
      </c>
      <c r="N55" s="588">
        <f t="shared" si="8"/>
        <v>15000</v>
      </c>
    </row>
    <row r="56" spans="1:14" x14ac:dyDescent="0.25">
      <c r="A56" s="39" t="s">
        <v>38</v>
      </c>
      <c r="B56" s="471">
        <f t="shared" ref="B56:M56" si="16">(((((((((B46)+(B47))+(B48))+(B49))+(B50))+(B51))+(B52))+(B53))+(B54))+(B55)</f>
        <v>33227.199999999997</v>
      </c>
      <c r="C56" s="471">
        <f t="shared" si="16"/>
        <v>34980.639999999999</v>
      </c>
      <c r="D56" s="471">
        <f t="shared" si="16"/>
        <v>32765.200000000001</v>
      </c>
      <c r="E56" s="471">
        <f t="shared" si="16"/>
        <v>32765.200000000001</v>
      </c>
      <c r="F56" s="471">
        <f t="shared" si="16"/>
        <v>32765.200000000001</v>
      </c>
      <c r="G56" s="471">
        <f t="shared" si="16"/>
        <v>32765.200000000001</v>
      </c>
      <c r="H56" s="471">
        <f t="shared" si="16"/>
        <v>32765.200000000001</v>
      </c>
      <c r="I56" s="471">
        <f t="shared" si="16"/>
        <v>32765.200000000001</v>
      </c>
      <c r="J56" s="471">
        <f t="shared" si="16"/>
        <v>32765.200000000001</v>
      </c>
      <c r="K56" s="471">
        <f t="shared" si="16"/>
        <v>32765.200000000001</v>
      </c>
      <c r="L56" s="471">
        <f t="shared" si="16"/>
        <v>32765.200000000001</v>
      </c>
      <c r="M56" s="471">
        <f t="shared" si="16"/>
        <v>32765.200000000001</v>
      </c>
      <c r="N56" s="471">
        <f t="shared" si="8"/>
        <v>395859.84000000008</v>
      </c>
    </row>
    <row r="57" spans="1:14" x14ac:dyDescent="0.25">
      <c r="A57" s="39" t="s">
        <v>39</v>
      </c>
      <c r="B57" s="587"/>
      <c r="C57" s="587"/>
      <c r="D57" s="587"/>
      <c r="E57" s="587"/>
      <c r="F57" s="587"/>
      <c r="G57" s="587"/>
      <c r="H57" s="587"/>
      <c r="I57" s="587"/>
      <c r="J57" s="587"/>
      <c r="K57" s="587"/>
      <c r="L57" s="587"/>
      <c r="M57" s="587"/>
      <c r="N57" s="588">
        <f t="shared" si="8"/>
        <v>0</v>
      </c>
    </row>
    <row r="58" spans="1:14" x14ac:dyDescent="0.25">
      <c r="A58" s="39" t="s">
        <v>40</v>
      </c>
      <c r="B58" s="588">
        <f>300</f>
        <v>300</v>
      </c>
      <c r="C58" s="588">
        <f>300</f>
        <v>300</v>
      </c>
      <c r="D58" s="588">
        <f>300</f>
        <v>300</v>
      </c>
      <c r="E58" s="588">
        <f>300</f>
        <v>300</v>
      </c>
      <c r="F58" s="588">
        <f>300</f>
        <v>300</v>
      </c>
      <c r="G58" s="588">
        <f>300</f>
        <v>300</v>
      </c>
      <c r="H58" s="588">
        <f>300</f>
        <v>300</v>
      </c>
      <c r="I58" s="588">
        <f>300</f>
        <v>300</v>
      </c>
      <c r="J58" s="588">
        <f>300</f>
        <v>300</v>
      </c>
      <c r="K58" s="588">
        <f>300</f>
        <v>300</v>
      </c>
      <c r="L58" s="588">
        <f>300</f>
        <v>300</v>
      </c>
      <c r="M58" s="588">
        <f>300</f>
        <v>300</v>
      </c>
      <c r="N58" s="588">
        <f t="shared" si="8"/>
        <v>3600</v>
      </c>
    </row>
    <row r="59" spans="1:14" x14ac:dyDescent="0.25">
      <c r="A59" s="39" t="s">
        <v>1019</v>
      </c>
      <c r="B59" s="588">
        <f>7100</f>
        <v>7100</v>
      </c>
      <c r="C59" s="588">
        <f>7100</f>
        <v>7100</v>
      </c>
      <c r="D59" s="588">
        <f>7100</f>
        <v>7100</v>
      </c>
      <c r="E59" s="588">
        <f>7100</f>
        <v>7100</v>
      </c>
      <c r="F59" s="588">
        <f>7100</f>
        <v>7100</v>
      </c>
      <c r="G59" s="588">
        <f>7100</f>
        <v>7100</v>
      </c>
      <c r="H59" s="588">
        <f>7100</f>
        <v>7100</v>
      </c>
      <c r="I59" s="588">
        <f>7100</f>
        <v>7100</v>
      </c>
      <c r="J59" s="588">
        <f>7100</f>
        <v>7100</v>
      </c>
      <c r="K59" s="588">
        <f>7100</f>
        <v>7100</v>
      </c>
      <c r="L59" s="588">
        <f>7100</f>
        <v>7100</v>
      </c>
      <c r="M59" s="588">
        <f>7100</f>
        <v>7100</v>
      </c>
      <c r="N59" s="588">
        <f t="shared" si="8"/>
        <v>85200</v>
      </c>
    </row>
    <row r="60" spans="1:14" x14ac:dyDescent="0.25">
      <c r="A60" s="39" t="s">
        <v>41</v>
      </c>
      <c r="B60" s="587"/>
      <c r="C60" s="587"/>
      <c r="D60" s="587"/>
      <c r="E60" s="587"/>
      <c r="F60" s="587"/>
      <c r="G60" s="587"/>
      <c r="H60" s="587"/>
      <c r="I60" s="587"/>
      <c r="J60" s="587"/>
      <c r="K60" s="587"/>
      <c r="L60" s="587"/>
      <c r="M60" s="587"/>
      <c r="N60" s="588">
        <f t="shared" si="8"/>
        <v>0</v>
      </c>
    </row>
    <row r="61" spans="1:14" x14ac:dyDescent="0.25">
      <c r="A61" s="39" t="s">
        <v>830</v>
      </c>
      <c r="B61" s="588">
        <f>6000</f>
        <v>6000</v>
      </c>
      <c r="C61" s="588">
        <f>6000</f>
        <v>6000</v>
      </c>
      <c r="D61" s="588">
        <f>6000</f>
        <v>6000</v>
      </c>
      <c r="E61" s="588">
        <f>6000</f>
        <v>6000</v>
      </c>
      <c r="F61" s="588">
        <f>6000</f>
        <v>6000</v>
      </c>
      <c r="G61" s="588">
        <f>6000</f>
        <v>6000</v>
      </c>
      <c r="H61" s="588">
        <f>6000</f>
        <v>6000</v>
      </c>
      <c r="I61" s="588">
        <f>6000</f>
        <v>6000</v>
      </c>
      <c r="J61" s="588">
        <f>6000</f>
        <v>6000</v>
      </c>
      <c r="K61" s="588">
        <f>6000</f>
        <v>6000</v>
      </c>
      <c r="L61" s="588">
        <f>6000</f>
        <v>6000</v>
      </c>
      <c r="M61" s="588">
        <f>6000</f>
        <v>6000</v>
      </c>
      <c r="N61" s="588">
        <f t="shared" si="8"/>
        <v>72000</v>
      </c>
    </row>
    <row r="62" spans="1:14" x14ac:dyDescent="0.25">
      <c r="A62" s="39" t="s">
        <v>42</v>
      </c>
      <c r="B62" s="588">
        <f>4000</f>
        <v>4000</v>
      </c>
      <c r="C62" s="588">
        <f>4000</f>
        <v>4000</v>
      </c>
      <c r="D62" s="588">
        <f>4000</f>
        <v>4000</v>
      </c>
      <c r="E62" s="588">
        <f>4000</f>
        <v>4000</v>
      </c>
      <c r="F62" s="588">
        <f>4000</f>
        <v>4000</v>
      </c>
      <c r="G62" s="588">
        <f>4000</f>
        <v>4000</v>
      </c>
      <c r="H62" s="588">
        <f>4000</f>
        <v>4000</v>
      </c>
      <c r="I62" s="588">
        <f>4000</f>
        <v>4000</v>
      </c>
      <c r="J62" s="588">
        <f>4000</f>
        <v>4000</v>
      </c>
      <c r="K62" s="588">
        <f>4000</f>
        <v>4000</v>
      </c>
      <c r="L62" s="588">
        <f>6000</f>
        <v>6000</v>
      </c>
      <c r="M62" s="588">
        <f>4000</f>
        <v>4000</v>
      </c>
      <c r="N62" s="588">
        <f t="shared" si="8"/>
        <v>50000</v>
      </c>
    </row>
    <row r="63" spans="1:14" x14ac:dyDescent="0.25">
      <c r="A63" s="39" t="s">
        <v>43</v>
      </c>
      <c r="B63" s="471">
        <f t="shared" ref="B63:M63" si="17">((B60)+(B61))+(B62)</f>
        <v>10000</v>
      </c>
      <c r="C63" s="471">
        <f t="shared" si="17"/>
        <v>10000</v>
      </c>
      <c r="D63" s="471">
        <f t="shared" si="17"/>
        <v>10000</v>
      </c>
      <c r="E63" s="471">
        <f t="shared" si="17"/>
        <v>10000</v>
      </c>
      <c r="F63" s="471">
        <f t="shared" si="17"/>
        <v>10000</v>
      </c>
      <c r="G63" s="471">
        <f t="shared" si="17"/>
        <v>10000</v>
      </c>
      <c r="H63" s="471">
        <f t="shared" si="17"/>
        <v>10000</v>
      </c>
      <c r="I63" s="471">
        <f t="shared" si="17"/>
        <v>10000</v>
      </c>
      <c r="J63" s="471">
        <f t="shared" si="17"/>
        <v>10000</v>
      </c>
      <c r="K63" s="471">
        <f t="shared" si="17"/>
        <v>10000</v>
      </c>
      <c r="L63" s="471">
        <f t="shared" si="17"/>
        <v>12000</v>
      </c>
      <c r="M63" s="471">
        <f t="shared" si="17"/>
        <v>10000</v>
      </c>
      <c r="N63" s="471">
        <f t="shared" si="8"/>
        <v>122000</v>
      </c>
    </row>
    <row r="64" spans="1:14" x14ac:dyDescent="0.25">
      <c r="A64" s="39" t="s">
        <v>44</v>
      </c>
      <c r="B64" s="471">
        <f t="shared" ref="B64:M64" si="18">(((B57)+(B58))+(B59))+(B63)</f>
        <v>17400</v>
      </c>
      <c r="C64" s="471">
        <f t="shared" si="18"/>
        <v>17400</v>
      </c>
      <c r="D64" s="471">
        <f t="shared" si="18"/>
        <v>17400</v>
      </c>
      <c r="E64" s="471">
        <f t="shared" si="18"/>
        <v>17400</v>
      </c>
      <c r="F64" s="471">
        <f t="shared" si="18"/>
        <v>17400</v>
      </c>
      <c r="G64" s="471">
        <f t="shared" si="18"/>
        <v>17400</v>
      </c>
      <c r="H64" s="471">
        <f t="shared" si="18"/>
        <v>17400</v>
      </c>
      <c r="I64" s="471">
        <f t="shared" si="18"/>
        <v>17400</v>
      </c>
      <c r="J64" s="471">
        <f t="shared" si="18"/>
        <v>17400</v>
      </c>
      <c r="K64" s="471">
        <f t="shared" si="18"/>
        <v>17400</v>
      </c>
      <c r="L64" s="471">
        <f t="shared" si="18"/>
        <v>19400</v>
      </c>
      <c r="M64" s="471">
        <f t="shared" si="18"/>
        <v>17400</v>
      </c>
      <c r="N64" s="471">
        <f t="shared" si="8"/>
        <v>210800</v>
      </c>
    </row>
    <row r="65" spans="1:14" x14ac:dyDescent="0.25">
      <c r="A65" s="39" t="s">
        <v>45</v>
      </c>
      <c r="B65" s="587"/>
      <c r="C65" s="587"/>
      <c r="D65" s="587"/>
      <c r="E65" s="587"/>
      <c r="F65" s="587"/>
      <c r="G65" s="587"/>
      <c r="H65" s="587"/>
      <c r="I65" s="587"/>
      <c r="J65" s="587"/>
      <c r="K65" s="587"/>
      <c r="L65" s="587"/>
      <c r="M65" s="587"/>
      <c r="N65" s="588">
        <f t="shared" si="8"/>
        <v>0</v>
      </c>
    </row>
    <row r="66" spans="1:14" x14ac:dyDescent="0.25">
      <c r="A66" s="39" t="s">
        <v>46</v>
      </c>
      <c r="B66" s="588">
        <f>300</f>
        <v>300</v>
      </c>
      <c r="C66" s="588">
        <f>300</f>
        <v>300</v>
      </c>
      <c r="D66" s="588">
        <f>300</f>
        <v>300</v>
      </c>
      <c r="E66" s="588">
        <f>300</f>
        <v>300</v>
      </c>
      <c r="F66" s="588">
        <f>300</f>
        <v>300</v>
      </c>
      <c r="G66" s="588">
        <f>300</f>
        <v>300</v>
      </c>
      <c r="H66" s="588">
        <f>300</f>
        <v>300</v>
      </c>
      <c r="I66" s="588">
        <f>300</f>
        <v>300</v>
      </c>
      <c r="J66" s="588">
        <f>300</f>
        <v>300</v>
      </c>
      <c r="K66" s="588">
        <f>300</f>
        <v>300</v>
      </c>
      <c r="L66" s="588">
        <f>300</f>
        <v>300</v>
      </c>
      <c r="M66" s="588">
        <f>300</f>
        <v>300</v>
      </c>
      <c r="N66" s="588">
        <f t="shared" si="8"/>
        <v>3600</v>
      </c>
    </row>
    <row r="67" spans="1:14" x14ac:dyDescent="0.25">
      <c r="A67" s="39" t="s">
        <v>47</v>
      </c>
      <c r="B67" s="588">
        <f>125</f>
        <v>125</v>
      </c>
      <c r="C67" s="588">
        <f>125</f>
        <v>125</v>
      </c>
      <c r="D67" s="588">
        <f>125</f>
        <v>125</v>
      </c>
      <c r="E67" s="588">
        <f>125</f>
        <v>125</v>
      </c>
      <c r="F67" s="588">
        <f>125</f>
        <v>125</v>
      </c>
      <c r="G67" s="588">
        <f>125</f>
        <v>125</v>
      </c>
      <c r="H67" s="588">
        <f>125</f>
        <v>125</v>
      </c>
      <c r="I67" s="588">
        <f>125</f>
        <v>125</v>
      </c>
      <c r="J67" s="588">
        <f>125</f>
        <v>125</v>
      </c>
      <c r="K67" s="588">
        <f>125</f>
        <v>125</v>
      </c>
      <c r="L67" s="588">
        <f>125</f>
        <v>125</v>
      </c>
      <c r="M67" s="588">
        <f>125</f>
        <v>125</v>
      </c>
      <c r="N67" s="588">
        <f t="shared" si="8"/>
        <v>1500</v>
      </c>
    </row>
    <row r="68" spans="1:14" x14ac:dyDescent="0.25">
      <c r="A68" s="39" t="s">
        <v>48</v>
      </c>
      <c r="B68" s="588">
        <f>100</f>
        <v>100</v>
      </c>
      <c r="C68" s="588">
        <f>100</f>
        <v>100</v>
      </c>
      <c r="D68" s="588">
        <f>100</f>
        <v>100</v>
      </c>
      <c r="E68" s="588">
        <f>100</f>
        <v>100</v>
      </c>
      <c r="F68" s="588">
        <f>100</f>
        <v>100</v>
      </c>
      <c r="G68" s="588">
        <f>100</f>
        <v>100</v>
      </c>
      <c r="H68" s="588">
        <f>100</f>
        <v>100</v>
      </c>
      <c r="I68" s="588">
        <f>100</f>
        <v>100</v>
      </c>
      <c r="J68" s="588">
        <f>100</f>
        <v>100</v>
      </c>
      <c r="K68" s="588">
        <f>100</f>
        <v>100</v>
      </c>
      <c r="L68" s="588">
        <f>100</f>
        <v>100</v>
      </c>
      <c r="M68" s="588">
        <f>100</f>
        <v>100</v>
      </c>
      <c r="N68" s="588">
        <f t="shared" si="8"/>
        <v>1200</v>
      </c>
    </row>
    <row r="69" spans="1:14" x14ac:dyDescent="0.25">
      <c r="A69" s="39" t="s">
        <v>49</v>
      </c>
      <c r="B69" s="588">
        <f>150</f>
        <v>150</v>
      </c>
      <c r="C69" s="588">
        <f>150</f>
        <v>150</v>
      </c>
      <c r="D69" s="588">
        <f>150</f>
        <v>150</v>
      </c>
      <c r="E69" s="588">
        <f>150</f>
        <v>150</v>
      </c>
      <c r="F69" s="588">
        <f>150</f>
        <v>150</v>
      </c>
      <c r="G69" s="588">
        <f>150</f>
        <v>150</v>
      </c>
      <c r="H69" s="588">
        <f>150</f>
        <v>150</v>
      </c>
      <c r="I69" s="588">
        <f>150</f>
        <v>150</v>
      </c>
      <c r="J69" s="588">
        <f>150</f>
        <v>150</v>
      </c>
      <c r="K69" s="588">
        <f>150</f>
        <v>150</v>
      </c>
      <c r="L69" s="588">
        <f>150</f>
        <v>150</v>
      </c>
      <c r="M69" s="588">
        <f>150</f>
        <v>150</v>
      </c>
      <c r="N69" s="588">
        <f t="shared" si="8"/>
        <v>1800</v>
      </c>
    </row>
    <row r="70" spans="1:14" x14ac:dyDescent="0.25">
      <c r="A70" s="39" t="s">
        <v>50</v>
      </c>
      <c r="B70" s="471">
        <f t="shared" ref="B70:M70" si="19">((((B65)+(B66))+(B67))+(B68))+(B69)</f>
        <v>675</v>
      </c>
      <c r="C70" s="471">
        <f t="shared" si="19"/>
        <v>675</v>
      </c>
      <c r="D70" s="471">
        <f t="shared" si="19"/>
        <v>675</v>
      </c>
      <c r="E70" s="471">
        <f t="shared" si="19"/>
        <v>675</v>
      </c>
      <c r="F70" s="471">
        <f t="shared" si="19"/>
        <v>675</v>
      </c>
      <c r="G70" s="471">
        <f t="shared" si="19"/>
        <v>675</v>
      </c>
      <c r="H70" s="471">
        <f t="shared" si="19"/>
        <v>675</v>
      </c>
      <c r="I70" s="471">
        <f t="shared" si="19"/>
        <v>675</v>
      </c>
      <c r="J70" s="471">
        <f t="shared" si="19"/>
        <v>675</v>
      </c>
      <c r="K70" s="471">
        <f t="shared" si="19"/>
        <v>675</v>
      </c>
      <c r="L70" s="471">
        <f t="shared" si="19"/>
        <v>675</v>
      </c>
      <c r="M70" s="471">
        <f t="shared" si="19"/>
        <v>675</v>
      </c>
      <c r="N70" s="471">
        <f t="shared" si="8"/>
        <v>8100</v>
      </c>
    </row>
    <row r="71" spans="1:14" x14ac:dyDescent="0.25">
      <c r="A71" s="39" t="s">
        <v>51</v>
      </c>
      <c r="B71" s="471">
        <f t="shared" ref="B71:M71" si="20">((((B41)+(B45))+(B56))+(B64))+(B70)</f>
        <v>56493.869999999995</v>
      </c>
      <c r="C71" s="471">
        <f t="shared" si="20"/>
        <v>58247.31</v>
      </c>
      <c r="D71" s="471">
        <f t="shared" si="20"/>
        <v>66031.87</v>
      </c>
      <c r="E71" s="471">
        <f t="shared" si="20"/>
        <v>56031.87</v>
      </c>
      <c r="F71" s="471">
        <f t="shared" si="20"/>
        <v>56031.87</v>
      </c>
      <c r="G71" s="471">
        <f t="shared" si="20"/>
        <v>66031.87</v>
      </c>
      <c r="H71" s="471">
        <f t="shared" si="20"/>
        <v>56031.87</v>
      </c>
      <c r="I71" s="471">
        <f t="shared" si="20"/>
        <v>56031.87</v>
      </c>
      <c r="J71" s="471">
        <f t="shared" si="20"/>
        <v>66031.87</v>
      </c>
      <c r="K71" s="471">
        <f t="shared" si="20"/>
        <v>86031.87</v>
      </c>
      <c r="L71" s="471">
        <f t="shared" si="20"/>
        <v>58031.87</v>
      </c>
      <c r="M71" s="471">
        <f t="shared" si="20"/>
        <v>56031.83</v>
      </c>
      <c r="N71" s="471">
        <f t="shared" si="8"/>
        <v>737059.83999999997</v>
      </c>
    </row>
    <row r="72" spans="1:14" x14ac:dyDescent="0.25">
      <c r="A72" s="39" t="s">
        <v>52</v>
      </c>
      <c r="B72" s="471">
        <f t="shared" ref="B72:M72" si="21">(B28)-(B71)</f>
        <v>-23243.869999999995</v>
      </c>
      <c r="C72" s="471">
        <f t="shared" si="21"/>
        <v>4002.6900000000023</v>
      </c>
      <c r="D72" s="471">
        <f t="shared" si="21"/>
        <v>2218.1300000000047</v>
      </c>
      <c r="E72" s="471">
        <f t="shared" si="21"/>
        <v>-12031.870000000003</v>
      </c>
      <c r="F72" s="471">
        <f t="shared" si="21"/>
        <v>-11281.870000000003</v>
      </c>
      <c r="G72" s="471">
        <f t="shared" si="21"/>
        <v>24218.130000000005</v>
      </c>
      <c r="H72" s="471">
        <f t="shared" si="21"/>
        <v>-13281.870000000003</v>
      </c>
      <c r="I72" s="471">
        <f t="shared" si="21"/>
        <v>-12531.870000000003</v>
      </c>
      <c r="J72" s="471">
        <f t="shared" si="21"/>
        <v>6718.1300000000047</v>
      </c>
      <c r="K72" s="471">
        <f t="shared" si="21"/>
        <v>92468.13</v>
      </c>
      <c r="L72" s="471">
        <f t="shared" si="21"/>
        <v>-8781.8700000000026</v>
      </c>
      <c r="M72" s="471">
        <f t="shared" si="21"/>
        <v>-5531.8300000000017</v>
      </c>
      <c r="N72" s="471">
        <f t="shared" si="8"/>
        <v>42940.160000000011</v>
      </c>
    </row>
    <row r="73" spans="1:14" x14ac:dyDescent="0.25">
      <c r="A73" s="39" t="s">
        <v>53</v>
      </c>
      <c r="B73" s="471">
        <f t="shared" ref="B73:M73" si="22">(B72)+(0)</f>
        <v>-23243.869999999995</v>
      </c>
      <c r="C73" s="471">
        <f t="shared" si="22"/>
        <v>4002.6900000000023</v>
      </c>
      <c r="D73" s="471">
        <f t="shared" si="22"/>
        <v>2218.1300000000047</v>
      </c>
      <c r="E73" s="471">
        <f t="shared" si="22"/>
        <v>-12031.870000000003</v>
      </c>
      <c r="F73" s="471">
        <f t="shared" si="22"/>
        <v>-11281.870000000003</v>
      </c>
      <c r="G73" s="471">
        <f t="shared" si="22"/>
        <v>24218.130000000005</v>
      </c>
      <c r="H73" s="471">
        <f t="shared" si="22"/>
        <v>-13281.870000000003</v>
      </c>
      <c r="I73" s="471">
        <f t="shared" si="22"/>
        <v>-12531.870000000003</v>
      </c>
      <c r="J73" s="471">
        <f t="shared" si="22"/>
        <v>6718.1300000000047</v>
      </c>
      <c r="K73" s="471">
        <f t="shared" si="22"/>
        <v>92468.13</v>
      </c>
      <c r="L73" s="471">
        <f t="shared" si="22"/>
        <v>-8781.8700000000026</v>
      </c>
      <c r="M73" s="471">
        <f t="shared" si="22"/>
        <v>-5531.8300000000017</v>
      </c>
      <c r="N73" s="471">
        <f t="shared" si="8"/>
        <v>42940.160000000011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C5E9-0296-44B3-8C5D-C80407F0D6B8}">
  <sheetPr codeName="Sheet9"/>
  <dimension ref="A1:M59"/>
  <sheetViews>
    <sheetView zoomScale="110" zoomScaleNormal="110" workbookViewId="0">
      <pane xSplit="1" ySplit="5" topLeftCell="B6" activePane="bottomRight" state="frozen"/>
      <selection activeCell="C8" sqref="C8"/>
      <selection pane="topRight" activeCell="C8" sqref="C8"/>
      <selection pane="bottomLeft" activeCell="C8" sqref="C8"/>
      <selection pane="bottomRight" activeCell="A74" sqref="A74"/>
    </sheetView>
  </sheetViews>
  <sheetFormatPr defaultColWidth="9.140625" defaultRowHeight="15" x14ac:dyDescent="0.25"/>
  <cols>
    <col min="1" max="1" width="52.140625" bestFit="1" customWidth="1"/>
    <col min="2" max="13" width="12.85546875" bestFit="1" customWidth="1"/>
  </cols>
  <sheetData>
    <row r="1" spans="1:13" ht="18.75" x14ac:dyDescent="0.3">
      <c r="A1" s="732" t="s">
        <v>1034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</row>
    <row r="2" spans="1:13" ht="18.75" x14ac:dyDescent="0.3">
      <c r="A2" s="732" t="s">
        <v>98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</row>
    <row r="3" spans="1:13" x14ac:dyDescent="0.25">
      <c r="A3" s="734" t="s">
        <v>1411</v>
      </c>
      <c r="B3" s="735"/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</row>
    <row r="5" spans="1:13" x14ac:dyDescent="0.25">
      <c r="A5" s="586"/>
      <c r="B5" s="469" t="s">
        <v>1022</v>
      </c>
      <c r="C5" s="469" t="s">
        <v>1023</v>
      </c>
      <c r="D5" s="469" t="s">
        <v>1024</v>
      </c>
      <c r="E5" s="469" t="s">
        <v>1025</v>
      </c>
      <c r="F5" s="594" t="s">
        <v>1026</v>
      </c>
      <c r="G5" s="469" t="s">
        <v>1027</v>
      </c>
      <c r="H5" s="469" t="s">
        <v>1028</v>
      </c>
      <c r="I5" s="469" t="s">
        <v>1029</v>
      </c>
      <c r="J5" s="469" t="s">
        <v>1030</v>
      </c>
      <c r="K5" s="469" t="s">
        <v>1031</v>
      </c>
      <c r="L5" s="469" t="s">
        <v>1032</v>
      </c>
      <c r="M5" s="469" t="s">
        <v>1033</v>
      </c>
    </row>
    <row r="6" spans="1:13" x14ac:dyDescent="0.25">
      <c r="A6" s="39" t="s">
        <v>97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</row>
    <row r="7" spans="1:13" x14ac:dyDescent="0.25">
      <c r="A7" s="39" t="s">
        <v>96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</row>
    <row r="8" spans="1:13" x14ac:dyDescent="0.25">
      <c r="A8" s="39" t="s">
        <v>95</v>
      </c>
      <c r="B8" s="587"/>
      <c r="C8" s="587"/>
      <c r="D8" s="587"/>
      <c r="E8" s="587"/>
      <c r="F8" s="587"/>
      <c r="G8" s="587"/>
      <c r="H8" s="587"/>
      <c r="I8" s="587"/>
      <c r="J8" s="587"/>
      <c r="K8" s="587"/>
      <c r="L8" s="587"/>
      <c r="M8" s="587"/>
    </row>
    <row r="9" spans="1:13" x14ac:dyDescent="0.25">
      <c r="A9" s="39" t="s">
        <v>94</v>
      </c>
      <c r="B9" s="588">
        <f>709845.23</f>
        <v>709845.23</v>
      </c>
      <c r="C9" s="588">
        <f>673576.7</f>
        <v>673576.7</v>
      </c>
      <c r="D9" s="588">
        <f>474936.48</f>
        <v>474936.48</v>
      </c>
      <c r="E9" s="588">
        <f>494323.43</f>
        <v>494323.43</v>
      </c>
      <c r="F9" s="588">
        <f>529437.84</f>
        <v>529437.84</v>
      </c>
      <c r="G9" s="588">
        <f>470221.88</f>
        <v>470221.88</v>
      </c>
      <c r="H9" s="588">
        <f>422555.27</f>
        <v>422555.27</v>
      </c>
      <c r="I9" s="588">
        <f>407287.72</f>
        <v>407287.72</v>
      </c>
      <c r="J9" s="588">
        <f>422371.01</f>
        <v>422371.01</v>
      </c>
      <c r="K9" s="588">
        <f>403166.72</f>
        <v>403166.71999999997</v>
      </c>
      <c r="L9" s="588">
        <f>370937.66</f>
        <v>370937.66</v>
      </c>
      <c r="M9" s="588">
        <f>392256.55</f>
        <v>392256.55</v>
      </c>
    </row>
    <row r="10" spans="1:13" x14ac:dyDescent="0.25">
      <c r="A10" s="39" t="s">
        <v>93</v>
      </c>
      <c r="B10" s="588">
        <f>1940.84</f>
        <v>1940.84</v>
      </c>
      <c r="C10" s="588">
        <f>B10</f>
        <v>1940.84</v>
      </c>
      <c r="D10" s="588">
        <f>C10</f>
        <v>1940.84</v>
      </c>
      <c r="E10" s="588">
        <f>2205.75</f>
        <v>2205.75</v>
      </c>
      <c r="F10" s="588">
        <f>2311.42</f>
        <v>2311.42</v>
      </c>
      <c r="G10" s="588">
        <f t="shared" ref="G10:M10" si="0">F10</f>
        <v>2311.42</v>
      </c>
      <c r="H10" s="588">
        <f t="shared" si="0"/>
        <v>2311.42</v>
      </c>
      <c r="I10" s="588">
        <f t="shared" si="0"/>
        <v>2311.42</v>
      </c>
      <c r="J10" s="588">
        <f t="shared" si="0"/>
        <v>2311.42</v>
      </c>
      <c r="K10" s="588">
        <f t="shared" si="0"/>
        <v>2311.42</v>
      </c>
      <c r="L10" s="588">
        <f t="shared" si="0"/>
        <v>2311.42</v>
      </c>
      <c r="M10" s="588">
        <f t="shared" si="0"/>
        <v>2311.42</v>
      </c>
    </row>
    <row r="11" spans="1:13" x14ac:dyDescent="0.25">
      <c r="A11" s="39" t="s">
        <v>1085</v>
      </c>
      <c r="B11" s="587"/>
      <c r="C11" s="588">
        <f>B11</f>
        <v>0</v>
      </c>
      <c r="D11" s="588">
        <f>300000</f>
        <v>300000</v>
      </c>
      <c r="E11" s="588">
        <f>301000.4</f>
        <v>301000.40000000002</v>
      </c>
      <c r="F11" s="588">
        <f>301971.71</f>
        <v>301971.71000000002</v>
      </c>
      <c r="G11" s="588">
        <f>302978.69</f>
        <v>302978.69</v>
      </c>
      <c r="H11" s="588">
        <f>303956.38</f>
        <v>303956.38</v>
      </c>
      <c r="I11" s="588">
        <f>304969.98</f>
        <v>304969.98</v>
      </c>
      <c r="J11" s="588">
        <f>305986.96</f>
        <v>305986.96000000002</v>
      </c>
      <c r="K11" s="588">
        <f>306974.36</f>
        <v>306974.36</v>
      </c>
      <c r="L11" s="588">
        <f>307998.03</f>
        <v>307998.03000000003</v>
      </c>
      <c r="M11" s="588">
        <f>308623.92</f>
        <v>308623.92</v>
      </c>
    </row>
    <row r="12" spans="1:13" x14ac:dyDescent="0.25">
      <c r="A12" s="39" t="s">
        <v>92</v>
      </c>
      <c r="B12" s="471">
        <f t="shared" ref="B12:M12" si="1">((B9)+(B10))+(B11)</f>
        <v>711786.07</v>
      </c>
      <c r="C12" s="471">
        <f t="shared" si="1"/>
        <v>675517.53999999992</v>
      </c>
      <c r="D12" s="471">
        <f t="shared" si="1"/>
        <v>776877.32000000007</v>
      </c>
      <c r="E12" s="471">
        <f t="shared" si="1"/>
        <v>797529.58000000007</v>
      </c>
      <c r="F12" s="471">
        <f t="shared" si="1"/>
        <v>833720.97</v>
      </c>
      <c r="G12" s="471">
        <f t="shared" si="1"/>
        <v>775511.99</v>
      </c>
      <c r="H12" s="471">
        <f t="shared" si="1"/>
        <v>728823.07000000007</v>
      </c>
      <c r="I12" s="471">
        <f t="shared" si="1"/>
        <v>714569.11999999988</v>
      </c>
      <c r="J12" s="471">
        <f t="shared" si="1"/>
        <v>730669.39</v>
      </c>
      <c r="K12" s="471">
        <f t="shared" si="1"/>
        <v>712452.5</v>
      </c>
      <c r="L12" s="471">
        <f t="shared" si="1"/>
        <v>681247.11</v>
      </c>
      <c r="M12" s="471">
        <f t="shared" si="1"/>
        <v>703191.8899999999</v>
      </c>
    </row>
    <row r="13" spans="1:13" x14ac:dyDescent="0.25">
      <c r="A13" s="39" t="s">
        <v>91</v>
      </c>
      <c r="B13" s="587"/>
      <c r="C13" s="587"/>
      <c r="D13" s="587"/>
      <c r="E13" s="587"/>
      <c r="F13" s="587"/>
      <c r="G13" s="587"/>
      <c r="H13" s="587"/>
      <c r="I13" s="587"/>
      <c r="J13" s="587"/>
      <c r="K13" s="587"/>
      <c r="L13" s="587"/>
      <c r="M13" s="587"/>
    </row>
    <row r="14" spans="1:13" x14ac:dyDescent="0.25">
      <c r="A14" s="39" t="s">
        <v>90</v>
      </c>
      <c r="B14" s="588">
        <f>168075</f>
        <v>168075</v>
      </c>
      <c r="C14" s="588">
        <f>172525</f>
        <v>172525</v>
      </c>
      <c r="D14" s="588">
        <f>79575</f>
        <v>79575</v>
      </c>
      <c r="E14" s="588">
        <f>70550</f>
        <v>70550</v>
      </c>
      <c r="F14" s="588">
        <f>12525</f>
        <v>12525</v>
      </c>
      <c r="G14" s="588">
        <f>12500</f>
        <v>12500</v>
      </c>
      <c r="H14" s="588">
        <f>37525</f>
        <v>37525</v>
      </c>
      <c r="I14" s="588">
        <f>96852.47</f>
        <v>96852.47</v>
      </c>
      <c r="J14" s="588">
        <f>93550</f>
        <v>93550</v>
      </c>
      <c r="K14" s="588">
        <f>73654.93</f>
        <v>73654.929999999993</v>
      </c>
      <c r="L14" s="588">
        <f>78345.01</f>
        <v>78345.009999999995</v>
      </c>
      <c r="M14" s="588">
        <f>91605.35</f>
        <v>91605.35</v>
      </c>
    </row>
    <row r="15" spans="1:13" x14ac:dyDescent="0.25">
      <c r="A15" s="39" t="s">
        <v>89</v>
      </c>
      <c r="B15" s="471">
        <f t="shared" ref="B15:M15" si="2">B14</f>
        <v>168075</v>
      </c>
      <c r="C15" s="471">
        <f t="shared" si="2"/>
        <v>172525</v>
      </c>
      <c r="D15" s="471">
        <f t="shared" si="2"/>
        <v>79575</v>
      </c>
      <c r="E15" s="471">
        <f t="shared" si="2"/>
        <v>70550</v>
      </c>
      <c r="F15" s="471">
        <f t="shared" si="2"/>
        <v>12525</v>
      </c>
      <c r="G15" s="471">
        <f t="shared" si="2"/>
        <v>12500</v>
      </c>
      <c r="H15" s="471">
        <f t="shared" si="2"/>
        <v>37525</v>
      </c>
      <c r="I15" s="471">
        <f t="shared" si="2"/>
        <v>96852.47</v>
      </c>
      <c r="J15" s="471">
        <f t="shared" si="2"/>
        <v>93550</v>
      </c>
      <c r="K15" s="471">
        <f t="shared" si="2"/>
        <v>73654.929999999993</v>
      </c>
      <c r="L15" s="471">
        <f t="shared" si="2"/>
        <v>78345.009999999995</v>
      </c>
      <c r="M15" s="471">
        <f t="shared" si="2"/>
        <v>91605.35</v>
      </c>
    </row>
    <row r="16" spans="1:13" x14ac:dyDescent="0.25">
      <c r="A16" s="39" t="s">
        <v>88</v>
      </c>
      <c r="B16" s="587"/>
      <c r="C16" s="587"/>
      <c r="D16" s="587"/>
      <c r="E16" s="587"/>
      <c r="F16" s="587"/>
      <c r="G16" s="587"/>
      <c r="H16" s="587"/>
      <c r="I16" s="587"/>
      <c r="J16" s="587"/>
      <c r="K16" s="587"/>
      <c r="L16" s="587"/>
      <c r="M16" s="587"/>
    </row>
    <row r="17" spans="1:13" x14ac:dyDescent="0.25">
      <c r="A17" s="39" t="s">
        <v>87</v>
      </c>
      <c r="B17" s="588">
        <f>385</f>
        <v>385</v>
      </c>
      <c r="C17" s="588">
        <f>470</f>
        <v>470</v>
      </c>
      <c r="D17" s="588">
        <f>10935</f>
        <v>10935</v>
      </c>
      <c r="E17" s="588">
        <f>2990</f>
        <v>2990</v>
      </c>
      <c r="F17" s="588">
        <f>958.28</f>
        <v>958.28</v>
      </c>
      <c r="G17" s="588">
        <f>135</f>
        <v>135</v>
      </c>
      <c r="H17" s="588">
        <f>3705</f>
        <v>3705</v>
      </c>
      <c r="I17" s="588">
        <f>1380</f>
        <v>1380</v>
      </c>
      <c r="J17" s="588">
        <f>10510</f>
        <v>10510</v>
      </c>
      <c r="K17" s="588">
        <f>905</f>
        <v>905</v>
      </c>
      <c r="L17" s="588">
        <f>2557.5</f>
        <v>2557.5</v>
      </c>
      <c r="M17" s="588">
        <f>385</f>
        <v>385</v>
      </c>
    </row>
    <row r="18" spans="1:13" x14ac:dyDescent="0.25">
      <c r="A18" s="39" t="s">
        <v>86</v>
      </c>
      <c r="B18" s="588">
        <f>2024.26</f>
        <v>2024.26</v>
      </c>
      <c r="C18" s="588">
        <f>1875.9</f>
        <v>1875.9</v>
      </c>
      <c r="D18" s="588">
        <f>1727.54</f>
        <v>1727.54</v>
      </c>
      <c r="E18" s="588">
        <f>1579.18</f>
        <v>1579.18</v>
      </c>
      <c r="F18" s="588">
        <f>19415.56</f>
        <v>19415.560000000001</v>
      </c>
      <c r="G18" s="588">
        <f>23513.26</f>
        <v>23513.26</v>
      </c>
      <c r="H18" s="588">
        <f>25643.89</f>
        <v>25643.89</v>
      </c>
      <c r="I18" s="588">
        <f>28211.76</f>
        <v>28211.759999999998</v>
      </c>
      <c r="J18" s="588">
        <f>26672.99</f>
        <v>26672.99</v>
      </c>
      <c r="K18" s="588">
        <f>8660.05</f>
        <v>8660.0499999999993</v>
      </c>
      <c r="L18" s="588">
        <f>8493.35</f>
        <v>8493.35</v>
      </c>
      <c r="M18" s="588">
        <f>9675.89</f>
        <v>9675.89</v>
      </c>
    </row>
    <row r="19" spans="1:13" x14ac:dyDescent="0.25">
      <c r="A19" s="39" t="s">
        <v>85</v>
      </c>
      <c r="B19" s="588">
        <f>1835.54</f>
        <v>1835.54</v>
      </c>
      <c r="C19" s="588">
        <f t="shared" ref="C19:H19" si="3">1912.33</f>
        <v>1912.33</v>
      </c>
      <c r="D19" s="588">
        <f t="shared" si="3"/>
        <v>1912.33</v>
      </c>
      <c r="E19" s="588">
        <f t="shared" si="3"/>
        <v>1912.33</v>
      </c>
      <c r="F19" s="588">
        <f t="shared" si="3"/>
        <v>1912.33</v>
      </c>
      <c r="G19" s="588">
        <f t="shared" si="3"/>
        <v>1912.33</v>
      </c>
      <c r="H19" s="588">
        <f t="shared" si="3"/>
        <v>1912.33</v>
      </c>
      <c r="I19" s="588">
        <f>H19</f>
        <v>1912.33</v>
      </c>
      <c r="J19" s="588">
        <f>I19</f>
        <v>1912.33</v>
      </c>
      <c r="K19" s="588">
        <f>J19</f>
        <v>1912.33</v>
      </c>
      <c r="L19" s="588">
        <f>2095.66</f>
        <v>2095.66</v>
      </c>
      <c r="M19" s="588">
        <f>2095.66</f>
        <v>2095.66</v>
      </c>
    </row>
    <row r="20" spans="1:13" x14ac:dyDescent="0.25">
      <c r="A20" s="39" t="s">
        <v>84</v>
      </c>
      <c r="B20" s="471">
        <f t="shared" ref="B20:M20" si="4">((B17)+(B18))+(B19)</f>
        <v>4244.8</v>
      </c>
      <c r="C20" s="471">
        <f t="shared" si="4"/>
        <v>4258.2299999999996</v>
      </c>
      <c r="D20" s="471">
        <f t="shared" si="4"/>
        <v>14574.87</v>
      </c>
      <c r="E20" s="471">
        <f t="shared" si="4"/>
        <v>6481.51</v>
      </c>
      <c r="F20" s="471">
        <f t="shared" si="4"/>
        <v>22286.17</v>
      </c>
      <c r="G20" s="471">
        <f t="shared" si="4"/>
        <v>25560.589999999997</v>
      </c>
      <c r="H20" s="471">
        <f t="shared" si="4"/>
        <v>31261.22</v>
      </c>
      <c r="I20" s="471">
        <f t="shared" si="4"/>
        <v>31504.089999999997</v>
      </c>
      <c r="J20" s="471">
        <f t="shared" si="4"/>
        <v>39095.320000000007</v>
      </c>
      <c r="K20" s="471">
        <f t="shared" si="4"/>
        <v>11477.38</v>
      </c>
      <c r="L20" s="471">
        <f t="shared" si="4"/>
        <v>13146.51</v>
      </c>
      <c r="M20" s="471">
        <f t="shared" si="4"/>
        <v>12156.55</v>
      </c>
    </row>
    <row r="21" spans="1:13" x14ac:dyDescent="0.25">
      <c r="A21" s="39" t="s">
        <v>83</v>
      </c>
      <c r="B21" s="471">
        <f t="shared" ref="B21:M21" si="5">((B12)+(B15))+(B20)</f>
        <v>884105.87</v>
      </c>
      <c r="C21" s="471">
        <f t="shared" si="5"/>
        <v>852300.7699999999</v>
      </c>
      <c r="D21" s="471">
        <f t="shared" si="5"/>
        <v>871027.19000000006</v>
      </c>
      <c r="E21" s="471">
        <f t="shared" si="5"/>
        <v>874561.09000000008</v>
      </c>
      <c r="F21" s="471">
        <f t="shared" si="5"/>
        <v>868532.14</v>
      </c>
      <c r="G21" s="471">
        <f t="shared" si="5"/>
        <v>813572.58</v>
      </c>
      <c r="H21" s="471">
        <f t="shared" si="5"/>
        <v>797609.29</v>
      </c>
      <c r="I21" s="471">
        <f t="shared" si="5"/>
        <v>842925.67999999982</v>
      </c>
      <c r="J21" s="471">
        <f t="shared" si="5"/>
        <v>863314.71</v>
      </c>
      <c r="K21" s="471">
        <f t="shared" si="5"/>
        <v>797584.80999999994</v>
      </c>
      <c r="L21" s="471">
        <f t="shared" si="5"/>
        <v>772738.63</v>
      </c>
      <c r="M21" s="471">
        <f t="shared" si="5"/>
        <v>806953.78999999992</v>
      </c>
    </row>
    <row r="22" spans="1:13" x14ac:dyDescent="0.25">
      <c r="A22" s="39" t="s">
        <v>82</v>
      </c>
      <c r="B22" s="587"/>
      <c r="C22" s="587"/>
      <c r="D22" s="587"/>
      <c r="E22" s="587"/>
      <c r="F22" s="587"/>
      <c r="G22" s="587"/>
      <c r="H22" s="587"/>
      <c r="I22" s="587"/>
      <c r="J22" s="587"/>
      <c r="K22" s="587"/>
      <c r="L22" s="587"/>
      <c r="M22" s="587"/>
    </row>
    <row r="23" spans="1:13" x14ac:dyDescent="0.25">
      <c r="A23" s="39" t="s">
        <v>81</v>
      </c>
      <c r="B23" s="588">
        <f>4333.95</f>
        <v>4333.95</v>
      </c>
      <c r="C23" s="588">
        <f t="shared" ref="C23:M25" si="6">B23</f>
        <v>4333.95</v>
      </c>
      <c r="D23" s="588">
        <f t="shared" si="6"/>
        <v>4333.95</v>
      </c>
      <c r="E23" s="588">
        <f t="shared" si="6"/>
        <v>4333.95</v>
      </c>
      <c r="F23" s="588">
        <f t="shared" si="6"/>
        <v>4333.95</v>
      </c>
      <c r="G23" s="588">
        <f t="shared" si="6"/>
        <v>4333.95</v>
      </c>
      <c r="H23" s="588">
        <f t="shared" si="6"/>
        <v>4333.95</v>
      </c>
      <c r="I23" s="588">
        <f t="shared" si="6"/>
        <v>4333.95</v>
      </c>
      <c r="J23" s="588">
        <f t="shared" si="6"/>
        <v>4333.95</v>
      </c>
      <c r="K23" s="588">
        <f t="shared" si="6"/>
        <v>4333.95</v>
      </c>
      <c r="L23" s="588">
        <f t="shared" si="6"/>
        <v>4333.95</v>
      </c>
      <c r="M23" s="588">
        <f t="shared" si="6"/>
        <v>4333.95</v>
      </c>
    </row>
    <row r="24" spans="1:13" x14ac:dyDescent="0.25">
      <c r="A24" s="39" t="s">
        <v>1120</v>
      </c>
      <c r="B24" s="587"/>
      <c r="C24" s="588">
        <f>B24</f>
        <v>0</v>
      </c>
      <c r="D24" s="588">
        <f>C24</f>
        <v>0</v>
      </c>
      <c r="E24" s="588">
        <f>2948.04</f>
        <v>2948.04</v>
      </c>
      <c r="F24" s="588">
        <f t="shared" si="6"/>
        <v>2948.04</v>
      </c>
      <c r="G24" s="588">
        <f t="shared" si="6"/>
        <v>2948.04</v>
      </c>
      <c r="H24" s="588">
        <f t="shared" si="6"/>
        <v>2948.04</v>
      </c>
      <c r="I24" s="588">
        <f t="shared" si="6"/>
        <v>2948.04</v>
      </c>
      <c r="J24" s="588">
        <f t="shared" si="6"/>
        <v>2948.04</v>
      </c>
      <c r="K24" s="588">
        <f t="shared" si="6"/>
        <v>2948.04</v>
      </c>
      <c r="L24" s="588">
        <f t="shared" si="6"/>
        <v>2948.04</v>
      </c>
      <c r="M24" s="588">
        <f t="shared" si="6"/>
        <v>2948.04</v>
      </c>
    </row>
    <row r="25" spans="1:13" x14ac:dyDescent="0.25">
      <c r="A25" s="39" t="s">
        <v>1119</v>
      </c>
      <c r="B25" s="588">
        <f>-4333.95</f>
        <v>-4333.95</v>
      </c>
      <c r="C25" s="588">
        <f>B25</f>
        <v>-4333.95</v>
      </c>
      <c r="D25" s="588">
        <f>C25</f>
        <v>-4333.95</v>
      </c>
      <c r="E25" s="588">
        <f>D25</f>
        <v>-4333.95</v>
      </c>
      <c r="F25" s="588">
        <f t="shared" si="6"/>
        <v>-4333.95</v>
      </c>
      <c r="G25" s="588">
        <f t="shared" si="6"/>
        <v>-4333.95</v>
      </c>
      <c r="H25" s="588">
        <f t="shared" si="6"/>
        <v>-4333.95</v>
      </c>
      <c r="I25" s="588">
        <f t="shared" si="6"/>
        <v>-4333.95</v>
      </c>
      <c r="J25" s="588">
        <f t="shared" si="6"/>
        <v>-4333.95</v>
      </c>
      <c r="K25" s="588">
        <f t="shared" si="6"/>
        <v>-4333.95</v>
      </c>
      <c r="L25" s="588">
        <f t="shared" si="6"/>
        <v>-4333.95</v>
      </c>
      <c r="M25" s="588">
        <f t="shared" si="6"/>
        <v>-4333.95</v>
      </c>
    </row>
    <row r="26" spans="1:13" x14ac:dyDescent="0.25">
      <c r="A26" s="39" t="s">
        <v>80</v>
      </c>
      <c r="B26" s="471">
        <f t="shared" ref="B26:M26" si="7">((B23)+(B24))+(B25)</f>
        <v>0</v>
      </c>
      <c r="C26" s="471">
        <f t="shared" si="7"/>
        <v>0</v>
      </c>
      <c r="D26" s="471">
        <f t="shared" si="7"/>
        <v>0</v>
      </c>
      <c r="E26" s="471">
        <f t="shared" si="7"/>
        <v>2948.04</v>
      </c>
      <c r="F26" s="471">
        <f t="shared" si="7"/>
        <v>2948.04</v>
      </c>
      <c r="G26" s="471">
        <f t="shared" si="7"/>
        <v>2948.04</v>
      </c>
      <c r="H26" s="471">
        <f t="shared" si="7"/>
        <v>2948.04</v>
      </c>
      <c r="I26" s="471">
        <f t="shared" si="7"/>
        <v>2948.04</v>
      </c>
      <c r="J26" s="471">
        <f t="shared" si="7"/>
        <v>2948.04</v>
      </c>
      <c r="K26" s="471">
        <f t="shared" si="7"/>
        <v>2948.04</v>
      </c>
      <c r="L26" s="471">
        <f t="shared" si="7"/>
        <v>2948.04</v>
      </c>
      <c r="M26" s="471">
        <f t="shared" si="7"/>
        <v>2948.04</v>
      </c>
    </row>
    <row r="27" spans="1:13" x14ac:dyDescent="0.25">
      <c r="A27" s="39" t="s">
        <v>79</v>
      </c>
      <c r="B27" s="471">
        <f t="shared" ref="B27:M27" si="8">(B21)+(B26)</f>
        <v>884105.87</v>
      </c>
      <c r="C27" s="471">
        <f t="shared" si="8"/>
        <v>852300.7699999999</v>
      </c>
      <c r="D27" s="471">
        <f t="shared" si="8"/>
        <v>871027.19000000006</v>
      </c>
      <c r="E27" s="471">
        <f t="shared" si="8"/>
        <v>877509.13000000012</v>
      </c>
      <c r="F27" s="471">
        <f t="shared" si="8"/>
        <v>871480.18</v>
      </c>
      <c r="G27" s="471">
        <f t="shared" si="8"/>
        <v>816520.62</v>
      </c>
      <c r="H27" s="471">
        <f t="shared" si="8"/>
        <v>800557.33000000007</v>
      </c>
      <c r="I27" s="471">
        <f t="shared" si="8"/>
        <v>845873.71999999986</v>
      </c>
      <c r="J27" s="471">
        <f t="shared" si="8"/>
        <v>866262.75</v>
      </c>
      <c r="K27" s="471">
        <f t="shared" si="8"/>
        <v>800532.85</v>
      </c>
      <c r="L27" s="471">
        <f t="shared" si="8"/>
        <v>775686.67</v>
      </c>
      <c r="M27" s="471">
        <f t="shared" si="8"/>
        <v>809901.83</v>
      </c>
    </row>
    <row r="28" spans="1:13" x14ac:dyDescent="0.25">
      <c r="A28" s="39" t="s">
        <v>78</v>
      </c>
      <c r="B28" s="587"/>
      <c r="C28" s="587"/>
      <c r="D28" s="587"/>
      <c r="E28" s="587"/>
      <c r="F28" s="587"/>
      <c r="G28" s="587"/>
      <c r="H28" s="587"/>
      <c r="I28" s="587"/>
      <c r="J28" s="587"/>
      <c r="K28" s="587"/>
      <c r="L28" s="587"/>
      <c r="M28" s="587"/>
    </row>
    <row r="29" spans="1:13" x14ac:dyDescent="0.25">
      <c r="A29" s="39" t="s">
        <v>77</v>
      </c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</row>
    <row r="30" spans="1:13" x14ac:dyDescent="0.25">
      <c r="A30" s="39" t="s">
        <v>76</v>
      </c>
      <c r="B30" s="587"/>
      <c r="C30" s="587"/>
      <c r="D30" s="587"/>
      <c r="E30" s="587"/>
      <c r="F30" s="587"/>
      <c r="G30" s="587"/>
      <c r="H30" s="587"/>
      <c r="I30" s="587"/>
      <c r="J30" s="587"/>
      <c r="K30" s="587"/>
      <c r="L30" s="587"/>
      <c r="M30" s="587"/>
    </row>
    <row r="31" spans="1:13" x14ac:dyDescent="0.25">
      <c r="A31" s="39" t="s">
        <v>75</v>
      </c>
      <c r="B31" s="587"/>
      <c r="C31" s="587"/>
      <c r="D31" s="587"/>
      <c r="E31" s="587"/>
      <c r="F31" s="587"/>
      <c r="G31" s="587"/>
      <c r="H31" s="587"/>
      <c r="I31" s="587"/>
      <c r="J31" s="587"/>
      <c r="K31" s="587"/>
      <c r="L31" s="587"/>
      <c r="M31" s="587"/>
    </row>
    <row r="32" spans="1:13" x14ac:dyDescent="0.25">
      <c r="A32" s="39" t="s">
        <v>74</v>
      </c>
      <c r="B32" s="588">
        <f>5469.78</f>
        <v>5469.78</v>
      </c>
      <c r="C32" s="588">
        <f>393.25</f>
        <v>393.25</v>
      </c>
      <c r="D32" s="588">
        <f>1.8</f>
        <v>1.8</v>
      </c>
      <c r="E32" s="588">
        <f>527.19</f>
        <v>527.19000000000005</v>
      </c>
      <c r="F32" s="588">
        <f>9480.04</f>
        <v>9480.0400000000009</v>
      </c>
      <c r="G32" s="588">
        <f>10232.23</f>
        <v>10232.23</v>
      </c>
      <c r="H32" s="588">
        <f>11144.87</f>
        <v>11144.87</v>
      </c>
      <c r="I32" s="588">
        <f>20283.22</f>
        <v>20283.22</v>
      </c>
      <c r="J32" s="588">
        <f>21246.5</f>
        <v>21246.5</v>
      </c>
      <c r="K32" s="588">
        <f>350</f>
        <v>350</v>
      </c>
      <c r="L32" s="588">
        <f>6502.52</f>
        <v>6502.52</v>
      </c>
      <c r="M32" s="588">
        <f>13000</f>
        <v>13000</v>
      </c>
    </row>
    <row r="33" spans="1:13" x14ac:dyDescent="0.25">
      <c r="A33" s="39" t="s">
        <v>73</v>
      </c>
      <c r="B33" s="471">
        <f t="shared" ref="B33:M33" si="9">B32</f>
        <v>5469.78</v>
      </c>
      <c r="C33" s="471">
        <f t="shared" si="9"/>
        <v>393.25</v>
      </c>
      <c r="D33" s="471">
        <f t="shared" si="9"/>
        <v>1.8</v>
      </c>
      <c r="E33" s="471">
        <f t="shared" si="9"/>
        <v>527.19000000000005</v>
      </c>
      <c r="F33" s="471">
        <f t="shared" si="9"/>
        <v>9480.0400000000009</v>
      </c>
      <c r="G33" s="471">
        <f t="shared" si="9"/>
        <v>10232.23</v>
      </c>
      <c r="H33" s="471">
        <f t="shared" si="9"/>
        <v>11144.87</v>
      </c>
      <c r="I33" s="471">
        <f t="shared" si="9"/>
        <v>20283.22</v>
      </c>
      <c r="J33" s="471">
        <f t="shared" si="9"/>
        <v>21246.5</v>
      </c>
      <c r="K33" s="471">
        <f t="shared" si="9"/>
        <v>350</v>
      </c>
      <c r="L33" s="471">
        <f t="shared" si="9"/>
        <v>6502.52</v>
      </c>
      <c r="M33" s="471">
        <f t="shared" si="9"/>
        <v>13000</v>
      </c>
    </row>
    <row r="34" spans="1:13" x14ac:dyDescent="0.25">
      <c r="A34" s="39" t="s">
        <v>72</v>
      </c>
      <c r="B34" s="587"/>
      <c r="C34" s="587"/>
      <c r="D34" s="587"/>
      <c r="E34" s="587"/>
      <c r="F34" s="587"/>
      <c r="G34" s="587"/>
      <c r="H34" s="587"/>
      <c r="I34" s="587"/>
      <c r="J34" s="587"/>
      <c r="K34" s="587"/>
      <c r="L34" s="587"/>
      <c r="M34" s="587"/>
    </row>
    <row r="35" spans="1:13" x14ac:dyDescent="0.25">
      <c r="A35" s="39" t="s">
        <v>935</v>
      </c>
      <c r="B35" s="588">
        <f>2104.99</f>
        <v>2104.9899999999998</v>
      </c>
      <c r="C35" s="588">
        <f>2391.02</f>
        <v>2391.02</v>
      </c>
      <c r="D35" s="588">
        <f>2310.44</f>
        <v>2310.44</v>
      </c>
      <c r="E35" s="588">
        <f>5066.31</f>
        <v>5066.3100000000004</v>
      </c>
      <c r="F35" s="588">
        <f>1753.34</f>
        <v>1753.34</v>
      </c>
      <c r="G35" s="588">
        <f>2564.17</f>
        <v>2564.17</v>
      </c>
      <c r="H35" s="588">
        <f>2530.39</f>
        <v>2530.39</v>
      </c>
      <c r="I35" s="588">
        <f>3882.36</f>
        <v>3882.36</v>
      </c>
      <c r="J35" s="588">
        <f>3786.43</f>
        <v>3786.43</v>
      </c>
      <c r="K35" s="588">
        <f>1853.35</f>
        <v>1853.35</v>
      </c>
      <c r="L35" s="588">
        <f>1338.71</f>
        <v>1338.71</v>
      </c>
      <c r="M35" s="588">
        <f>1547.47</f>
        <v>1547.47</v>
      </c>
    </row>
    <row r="36" spans="1:13" x14ac:dyDescent="0.25">
      <c r="A36" s="39" t="s">
        <v>423</v>
      </c>
      <c r="B36" s="588">
        <f>490.95</f>
        <v>490.95</v>
      </c>
      <c r="C36" s="588">
        <f>490.95</f>
        <v>490.95</v>
      </c>
      <c r="D36" s="588">
        <f>362</f>
        <v>362</v>
      </c>
      <c r="E36" s="588">
        <f>365.75</f>
        <v>365.75</v>
      </c>
      <c r="F36" s="588">
        <f>379.61</f>
        <v>379.61</v>
      </c>
      <c r="G36" s="588">
        <f>294.61</f>
        <v>294.61</v>
      </c>
      <c r="H36" s="588">
        <f>142.25</f>
        <v>142.25</v>
      </c>
      <c r="I36" s="588">
        <f>0</f>
        <v>0</v>
      </c>
      <c r="J36" s="588">
        <f>I36</f>
        <v>0</v>
      </c>
      <c r="K36" s="588">
        <f>J36</f>
        <v>0</v>
      </c>
      <c r="L36" s="588">
        <f>K36</f>
        <v>0</v>
      </c>
      <c r="M36" s="588">
        <f>L36</f>
        <v>0</v>
      </c>
    </row>
    <row r="37" spans="1:13" x14ac:dyDescent="0.25">
      <c r="A37" s="39" t="s">
        <v>1086</v>
      </c>
      <c r="B37" s="587"/>
      <c r="C37" s="588">
        <f>438</f>
        <v>438</v>
      </c>
      <c r="D37" s="588">
        <f>64.19</f>
        <v>64.19</v>
      </c>
      <c r="E37" s="588">
        <f>1104.58</f>
        <v>1104.58</v>
      </c>
      <c r="F37" s="588">
        <f>251.77</f>
        <v>251.77</v>
      </c>
      <c r="G37" s="588">
        <f>602.38</f>
        <v>602.38</v>
      </c>
      <c r="H37" s="588">
        <f>1248.83</f>
        <v>1248.83</v>
      </c>
      <c r="I37" s="588">
        <f>4634.6</f>
        <v>4634.6000000000004</v>
      </c>
      <c r="J37" s="588">
        <f>4383.51</f>
        <v>4383.51</v>
      </c>
      <c r="K37" s="588">
        <f>5833.37</f>
        <v>5833.37</v>
      </c>
      <c r="L37" s="588">
        <f>2419.22</f>
        <v>2419.2199999999998</v>
      </c>
      <c r="M37" s="588">
        <f>614.82</f>
        <v>614.82000000000005</v>
      </c>
    </row>
    <row r="38" spans="1:13" x14ac:dyDescent="0.25">
      <c r="A38" s="39" t="s">
        <v>71</v>
      </c>
      <c r="B38" s="471">
        <f t="shared" ref="B38:M38" si="10">((B35)+(B36))+(B37)</f>
        <v>2595.9399999999996</v>
      </c>
      <c r="C38" s="471">
        <f t="shared" si="10"/>
        <v>3319.97</v>
      </c>
      <c r="D38" s="471">
        <f t="shared" si="10"/>
        <v>2736.63</v>
      </c>
      <c r="E38" s="471">
        <f t="shared" si="10"/>
        <v>6536.64</v>
      </c>
      <c r="F38" s="471">
        <f t="shared" si="10"/>
        <v>2384.7199999999998</v>
      </c>
      <c r="G38" s="471">
        <f t="shared" si="10"/>
        <v>3461.1600000000003</v>
      </c>
      <c r="H38" s="471">
        <f t="shared" si="10"/>
        <v>3921.47</v>
      </c>
      <c r="I38" s="471">
        <f t="shared" si="10"/>
        <v>8516.9600000000009</v>
      </c>
      <c r="J38" s="471">
        <f t="shared" si="10"/>
        <v>8169.9400000000005</v>
      </c>
      <c r="K38" s="471">
        <f t="shared" si="10"/>
        <v>7686.7199999999993</v>
      </c>
      <c r="L38" s="471">
        <f t="shared" si="10"/>
        <v>3757.93</v>
      </c>
      <c r="M38" s="471">
        <f t="shared" si="10"/>
        <v>2162.29</v>
      </c>
    </row>
    <row r="39" spans="1:13" x14ac:dyDescent="0.25">
      <c r="A39" s="39" t="s">
        <v>70</v>
      </c>
      <c r="B39" s="587"/>
      <c r="C39" s="587"/>
      <c r="D39" s="587"/>
      <c r="E39" s="587"/>
      <c r="F39" s="587"/>
      <c r="G39" s="587"/>
      <c r="H39" s="587"/>
      <c r="I39" s="587"/>
      <c r="J39" s="587"/>
      <c r="K39" s="587"/>
      <c r="L39" s="587"/>
      <c r="M39" s="587"/>
    </row>
    <row r="40" spans="1:13" x14ac:dyDescent="0.25">
      <c r="A40" s="39" t="s">
        <v>69</v>
      </c>
      <c r="B40" s="588">
        <f>19543.27</f>
        <v>19543.27</v>
      </c>
      <c r="C40" s="588">
        <f>21481.97</f>
        <v>21481.97</v>
      </c>
      <c r="D40" s="588">
        <f>23151.44</f>
        <v>23151.439999999999</v>
      </c>
      <c r="E40" s="588">
        <f>22307.04</f>
        <v>22307.040000000001</v>
      </c>
      <c r="F40" s="588">
        <f>21367.09</f>
        <v>21367.09</v>
      </c>
      <c r="G40" s="588">
        <f>21273.37</f>
        <v>21273.37</v>
      </c>
      <c r="H40" s="588">
        <f>23245.72</f>
        <v>23245.72</v>
      </c>
      <c r="I40" s="588">
        <f>22669.87</f>
        <v>22669.87</v>
      </c>
      <c r="J40" s="588">
        <f>20772.53</f>
        <v>20772.53</v>
      </c>
      <c r="K40" s="588">
        <f>22744.88</f>
        <v>22744.880000000001</v>
      </c>
      <c r="L40" s="588">
        <f>21738.93</f>
        <v>21738.93</v>
      </c>
      <c r="M40" s="588">
        <f>23711.28</f>
        <v>23711.279999999999</v>
      </c>
    </row>
    <row r="41" spans="1:13" x14ac:dyDescent="0.25">
      <c r="A41" s="39" t="s">
        <v>68</v>
      </c>
      <c r="B41" s="588">
        <f>14874.96</f>
        <v>14874.96</v>
      </c>
      <c r="C41" s="588">
        <f>16123.15</f>
        <v>16123.15</v>
      </c>
      <c r="D41" s="588">
        <f>15637.14</f>
        <v>15637.14</v>
      </c>
      <c r="E41" s="588">
        <f>15637.14</f>
        <v>15637.14</v>
      </c>
      <c r="F41" s="588">
        <f>16380.23</f>
        <v>16380.23</v>
      </c>
      <c r="G41" s="588">
        <f>16500.67</f>
        <v>16500.669999999998</v>
      </c>
      <c r="H41" s="588">
        <f>17178.47</f>
        <v>17178.47</v>
      </c>
      <c r="I41" s="588">
        <f>16254.48</f>
        <v>16254.48</v>
      </c>
      <c r="J41" s="588">
        <f>19588.82</f>
        <v>19588.82</v>
      </c>
      <c r="K41" s="588">
        <f>35692.55</f>
        <v>35692.550000000003</v>
      </c>
      <c r="L41" s="588">
        <f>15739.3</f>
        <v>15739.3</v>
      </c>
      <c r="M41" s="588">
        <f>17006.24</f>
        <v>17006.240000000002</v>
      </c>
    </row>
    <row r="42" spans="1:13" x14ac:dyDescent="0.25">
      <c r="A42" s="39" t="s">
        <v>67</v>
      </c>
      <c r="B42" s="588">
        <f>35342.71</f>
        <v>35342.71</v>
      </c>
      <c r="C42" s="588">
        <f>4000</f>
        <v>4000</v>
      </c>
      <c r="D42" s="588">
        <f>6000</f>
        <v>6000</v>
      </c>
      <c r="E42" s="588">
        <f>8000</f>
        <v>8000</v>
      </c>
      <c r="F42" s="588">
        <f>10000</f>
        <v>10000</v>
      </c>
      <c r="G42" s="588">
        <f>12000</f>
        <v>12000</v>
      </c>
      <c r="H42" s="588">
        <f>14000</f>
        <v>14000</v>
      </c>
      <c r="I42" s="588">
        <f>16000</f>
        <v>16000</v>
      </c>
      <c r="J42" s="588">
        <f>18000</f>
        <v>18000</v>
      </c>
      <c r="K42" s="588">
        <f>20000</f>
        <v>20000</v>
      </c>
      <c r="L42" s="588">
        <f>22000</f>
        <v>22000</v>
      </c>
      <c r="M42" s="588">
        <f>29240</f>
        <v>29240</v>
      </c>
    </row>
    <row r="43" spans="1:13" x14ac:dyDescent="0.25">
      <c r="A43" s="39" t="s">
        <v>1195</v>
      </c>
      <c r="B43" s="588">
        <f>16079.34</f>
        <v>16079.34</v>
      </c>
      <c r="C43" s="588">
        <f>B43</f>
        <v>16079.34</v>
      </c>
      <c r="D43" s="588">
        <f>C43</f>
        <v>16079.34</v>
      </c>
      <c r="E43" s="588">
        <f>D43</f>
        <v>16079.34</v>
      </c>
      <c r="F43" s="588">
        <f>E43</f>
        <v>16079.34</v>
      </c>
      <c r="G43" s="588">
        <f>0</f>
        <v>0</v>
      </c>
      <c r="H43" s="588">
        <f t="shared" ref="H43:M43" si="11">G43</f>
        <v>0</v>
      </c>
      <c r="I43" s="588">
        <f t="shared" si="11"/>
        <v>0</v>
      </c>
      <c r="J43" s="588">
        <f t="shared" si="11"/>
        <v>0</v>
      </c>
      <c r="K43" s="588">
        <f t="shared" si="11"/>
        <v>0</v>
      </c>
      <c r="L43" s="588">
        <f t="shared" si="11"/>
        <v>0</v>
      </c>
      <c r="M43" s="588">
        <f t="shared" si="11"/>
        <v>0</v>
      </c>
    </row>
    <row r="44" spans="1:13" x14ac:dyDescent="0.25">
      <c r="A44" s="39" t="s">
        <v>66</v>
      </c>
      <c r="B44" s="588">
        <f>171458.41</f>
        <v>171458.41</v>
      </c>
      <c r="C44" s="588">
        <f>173583.42</f>
        <v>173583.42</v>
      </c>
      <c r="D44" s="588">
        <f>168833.4</f>
        <v>168833.4</v>
      </c>
      <c r="E44" s="588">
        <f>173083.41</f>
        <v>173083.41</v>
      </c>
      <c r="F44" s="588">
        <f>156583.42</f>
        <v>156583.42000000001</v>
      </c>
      <c r="G44" s="588">
        <f>128583.43</f>
        <v>128583.43</v>
      </c>
      <c r="H44" s="588">
        <f>120750.1</f>
        <v>120750.1</v>
      </c>
      <c r="I44" s="588">
        <f>136041.78</f>
        <v>136041.78</v>
      </c>
      <c r="J44" s="588">
        <f>150333.42</f>
        <v>150333.42000000001</v>
      </c>
      <c r="K44" s="588">
        <f>125083.39</f>
        <v>125083.39</v>
      </c>
      <c r="L44" s="588">
        <f>118083.36</f>
        <v>118083.36</v>
      </c>
      <c r="M44" s="588">
        <f>131000.04</f>
        <v>131000.04</v>
      </c>
    </row>
    <row r="45" spans="1:13" x14ac:dyDescent="0.25">
      <c r="A45" s="39" t="s">
        <v>65</v>
      </c>
      <c r="B45" s="588">
        <f>74500</f>
        <v>74500</v>
      </c>
      <c r="C45" s="588">
        <f>81500</f>
        <v>81500</v>
      </c>
      <c r="D45" s="588">
        <f>82500</f>
        <v>82500</v>
      </c>
      <c r="E45" s="588">
        <f>82500</f>
        <v>82500</v>
      </c>
      <c r="F45" s="588">
        <f>79000</f>
        <v>79000</v>
      </c>
      <c r="G45" s="588">
        <f>70000</f>
        <v>70000</v>
      </c>
      <c r="H45" s="588">
        <f>73500</f>
        <v>73500</v>
      </c>
      <c r="I45" s="588">
        <f>73500</f>
        <v>73500</v>
      </c>
      <c r="J45" s="588">
        <f>70000</f>
        <v>70000</v>
      </c>
      <c r="K45" s="588">
        <f>41500</f>
        <v>41500</v>
      </c>
      <c r="L45" s="588">
        <f>42500</f>
        <v>42500</v>
      </c>
      <c r="M45" s="588">
        <f>37500</f>
        <v>37500</v>
      </c>
    </row>
    <row r="46" spans="1:13" x14ac:dyDescent="0.25">
      <c r="A46" s="39" t="s">
        <v>723</v>
      </c>
      <c r="B46" s="588">
        <f>44975</f>
        <v>44975</v>
      </c>
      <c r="C46" s="588">
        <f>B46</f>
        <v>44975</v>
      </c>
      <c r="D46" s="588">
        <f>58450</f>
        <v>58450</v>
      </c>
      <c r="E46" s="588">
        <f t="shared" ref="E46:G48" si="12">D46</f>
        <v>58450</v>
      </c>
      <c r="F46" s="588">
        <f t="shared" si="12"/>
        <v>58450</v>
      </c>
      <c r="G46" s="588">
        <f t="shared" si="12"/>
        <v>58450</v>
      </c>
      <c r="H46" s="588">
        <f>60975</f>
        <v>60975</v>
      </c>
      <c r="I46" s="588">
        <f>99075</f>
        <v>99075</v>
      </c>
      <c r="J46" s="588">
        <f>101600</f>
        <v>101600</v>
      </c>
      <c r="K46" s="588">
        <f>0</f>
        <v>0</v>
      </c>
      <c r="L46" s="588">
        <f>K46</f>
        <v>0</v>
      </c>
      <c r="M46" s="588">
        <f>20000</f>
        <v>20000</v>
      </c>
    </row>
    <row r="47" spans="1:13" x14ac:dyDescent="0.25">
      <c r="A47" s="39" t="s">
        <v>64</v>
      </c>
      <c r="B47" s="588">
        <f>0</f>
        <v>0</v>
      </c>
      <c r="C47" s="588">
        <f>B47</f>
        <v>0</v>
      </c>
      <c r="D47" s="588">
        <f>C47</f>
        <v>0</v>
      </c>
      <c r="E47" s="588">
        <f t="shared" si="12"/>
        <v>0</v>
      </c>
      <c r="F47" s="588">
        <f t="shared" si="12"/>
        <v>0</v>
      </c>
      <c r="G47" s="588">
        <f t="shared" si="12"/>
        <v>0</v>
      </c>
      <c r="H47" s="588">
        <f>G47</f>
        <v>0</v>
      </c>
      <c r="I47" s="588">
        <f>H47</f>
        <v>0</v>
      </c>
      <c r="J47" s="588">
        <f>I47</f>
        <v>0</v>
      </c>
      <c r="K47" s="588">
        <f>J47</f>
        <v>0</v>
      </c>
      <c r="L47" s="588">
        <f>K47</f>
        <v>0</v>
      </c>
      <c r="M47" s="588">
        <f>L47</f>
        <v>0</v>
      </c>
    </row>
    <row r="48" spans="1:13" x14ac:dyDescent="0.25">
      <c r="A48" s="39" t="s">
        <v>725</v>
      </c>
      <c r="B48" s="588">
        <f>0</f>
        <v>0</v>
      </c>
      <c r="C48" s="588">
        <f>B48</f>
        <v>0</v>
      </c>
      <c r="D48" s="588">
        <f>C48</f>
        <v>0</v>
      </c>
      <c r="E48" s="588">
        <f t="shared" si="12"/>
        <v>0</v>
      </c>
      <c r="F48" s="588">
        <f t="shared" si="12"/>
        <v>0</v>
      </c>
      <c r="G48" s="588">
        <f t="shared" si="12"/>
        <v>0</v>
      </c>
      <c r="H48" s="588">
        <f>G48</f>
        <v>0</v>
      </c>
      <c r="I48" s="588">
        <f>3438</f>
        <v>3438</v>
      </c>
      <c r="J48" s="588">
        <f>7023</f>
        <v>7023</v>
      </c>
      <c r="K48" s="588">
        <f>0</f>
        <v>0</v>
      </c>
      <c r="L48" s="588">
        <f>K48</f>
        <v>0</v>
      </c>
      <c r="M48" s="588">
        <f>L48</f>
        <v>0</v>
      </c>
    </row>
    <row r="49" spans="1:13" x14ac:dyDescent="0.25">
      <c r="A49" s="39" t="s">
        <v>724</v>
      </c>
      <c r="B49" s="588">
        <f>6061.1</f>
        <v>6061.1</v>
      </c>
      <c r="C49" s="588">
        <f>930</f>
        <v>930</v>
      </c>
      <c r="D49" s="588">
        <f>545</f>
        <v>545</v>
      </c>
      <c r="E49" s="588">
        <f>1290</f>
        <v>1290</v>
      </c>
      <c r="F49" s="588">
        <f>10400</f>
        <v>10400</v>
      </c>
      <c r="G49" s="588">
        <f>8850</f>
        <v>8850</v>
      </c>
      <c r="H49" s="588">
        <f>14090</f>
        <v>14090</v>
      </c>
      <c r="I49" s="588">
        <f>7995</f>
        <v>7995</v>
      </c>
      <c r="J49" s="588">
        <f>1900</f>
        <v>1900</v>
      </c>
      <c r="K49" s="588">
        <f>2410</f>
        <v>2410</v>
      </c>
      <c r="L49" s="588">
        <f>947.5</f>
        <v>947.5</v>
      </c>
      <c r="M49" s="588">
        <f>3320</f>
        <v>3320</v>
      </c>
    </row>
    <row r="50" spans="1:13" x14ac:dyDescent="0.25">
      <c r="A50" s="39" t="s">
        <v>63</v>
      </c>
      <c r="B50" s="471">
        <f t="shared" ref="B50:M50" si="13">((B47)+(B48))+(B49)</f>
        <v>6061.1</v>
      </c>
      <c r="C50" s="471">
        <f t="shared" si="13"/>
        <v>930</v>
      </c>
      <c r="D50" s="471">
        <f t="shared" si="13"/>
        <v>545</v>
      </c>
      <c r="E50" s="471">
        <f t="shared" si="13"/>
        <v>1290</v>
      </c>
      <c r="F50" s="471">
        <f t="shared" si="13"/>
        <v>10400</v>
      </c>
      <c r="G50" s="471">
        <f t="shared" si="13"/>
        <v>8850</v>
      </c>
      <c r="H50" s="471">
        <f t="shared" si="13"/>
        <v>14090</v>
      </c>
      <c r="I50" s="471">
        <f t="shared" si="13"/>
        <v>11433</v>
      </c>
      <c r="J50" s="471">
        <f t="shared" si="13"/>
        <v>8923</v>
      </c>
      <c r="K50" s="471">
        <f t="shared" si="13"/>
        <v>2410</v>
      </c>
      <c r="L50" s="471">
        <f t="shared" si="13"/>
        <v>947.5</v>
      </c>
      <c r="M50" s="471">
        <f t="shared" si="13"/>
        <v>3320</v>
      </c>
    </row>
    <row r="51" spans="1:13" x14ac:dyDescent="0.25">
      <c r="A51" s="39" t="s">
        <v>511</v>
      </c>
      <c r="B51" s="588">
        <f>28800</f>
        <v>28800</v>
      </c>
      <c r="C51" s="588">
        <f>27550</f>
        <v>27550</v>
      </c>
      <c r="D51" s="588">
        <f>16250</f>
        <v>16250</v>
      </c>
      <c r="E51" s="588">
        <f>15000</f>
        <v>15000</v>
      </c>
      <c r="F51" s="588">
        <f>13750</f>
        <v>13750</v>
      </c>
      <c r="G51" s="588">
        <f>12500</f>
        <v>12500</v>
      </c>
      <c r="H51" s="588">
        <f>11250</f>
        <v>11250</v>
      </c>
      <c r="I51" s="588">
        <f>10000</f>
        <v>10000</v>
      </c>
      <c r="J51" s="588">
        <f>8750</f>
        <v>8750</v>
      </c>
      <c r="K51" s="588">
        <f>2500</f>
        <v>2500</v>
      </c>
      <c r="L51" s="588">
        <f>1250</f>
        <v>1250</v>
      </c>
      <c r="M51" s="588">
        <f>0</f>
        <v>0</v>
      </c>
    </row>
    <row r="52" spans="1:13" x14ac:dyDescent="0.25">
      <c r="A52" s="39" t="s">
        <v>62</v>
      </c>
      <c r="B52" s="471">
        <f t="shared" ref="B52:M52" si="14">((((((((B40)+(B41))+(B42))+(B43))+(B44))+(B45))+(B46))+(B50))+(B51)</f>
        <v>411634.79</v>
      </c>
      <c r="C52" s="471">
        <f t="shared" si="14"/>
        <v>386222.88</v>
      </c>
      <c r="D52" s="471">
        <f t="shared" si="14"/>
        <v>387446.32</v>
      </c>
      <c r="E52" s="471">
        <f t="shared" si="14"/>
        <v>392346.93</v>
      </c>
      <c r="F52" s="471">
        <f t="shared" si="14"/>
        <v>382010.08</v>
      </c>
      <c r="G52" s="471">
        <f t="shared" si="14"/>
        <v>328157.46999999997</v>
      </c>
      <c r="H52" s="471">
        <f t="shared" si="14"/>
        <v>334989.29000000004</v>
      </c>
      <c r="I52" s="471">
        <f t="shared" si="14"/>
        <v>384974.13</v>
      </c>
      <c r="J52" s="471">
        <f t="shared" si="14"/>
        <v>397967.77</v>
      </c>
      <c r="K52" s="471">
        <f t="shared" si="14"/>
        <v>249930.82</v>
      </c>
      <c r="L52" s="471">
        <f t="shared" si="14"/>
        <v>222259.09</v>
      </c>
      <c r="M52" s="471">
        <f t="shared" si="14"/>
        <v>261777.56</v>
      </c>
    </row>
    <row r="53" spans="1:13" x14ac:dyDescent="0.25">
      <c r="A53" s="39" t="s">
        <v>61</v>
      </c>
      <c r="B53" s="471">
        <f t="shared" ref="B53:M53" si="15">((B33)+(B38))+(B52)</f>
        <v>419700.50999999995</v>
      </c>
      <c r="C53" s="471">
        <f t="shared" si="15"/>
        <v>389936.1</v>
      </c>
      <c r="D53" s="471">
        <f t="shared" si="15"/>
        <v>390184.75</v>
      </c>
      <c r="E53" s="471">
        <f t="shared" si="15"/>
        <v>399410.76</v>
      </c>
      <c r="F53" s="471">
        <f t="shared" si="15"/>
        <v>393874.84</v>
      </c>
      <c r="G53" s="471">
        <f t="shared" si="15"/>
        <v>341850.86</v>
      </c>
      <c r="H53" s="471">
        <f t="shared" si="15"/>
        <v>350055.63000000006</v>
      </c>
      <c r="I53" s="471">
        <f t="shared" si="15"/>
        <v>413774.31</v>
      </c>
      <c r="J53" s="471">
        <f t="shared" si="15"/>
        <v>427384.21</v>
      </c>
      <c r="K53" s="471">
        <f t="shared" si="15"/>
        <v>257967.54</v>
      </c>
      <c r="L53" s="471">
        <f t="shared" si="15"/>
        <v>232519.54</v>
      </c>
      <c r="M53" s="471">
        <f t="shared" si="15"/>
        <v>276939.84999999998</v>
      </c>
    </row>
    <row r="54" spans="1:13" x14ac:dyDescent="0.25">
      <c r="A54" s="39" t="s">
        <v>60</v>
      </c>
      <c r="B54" s="471">
        <f t="shared" ref="B54:M54" si="16">B53</f>
        <v>419700.50999999995</v>
      </c>
      <c r="C54" s="471">
        <f t="shared" si="16"/>
        <v>389936.1</v>
      </c>
      <c r="D54" s="471">
        <f t="shared" si="16"/>
        <v>390184.75</v>
      </c>
      <c r="E54" s="471">
        <f t="shared" si="16"/>
        <v>399410.76</v>
      </c>
      <c r="F54" s="471">
        <f t="shared" si="16"/>
        <v>393874.84</v>
      </c>
      <c r="G54" s="471">
        <f t="shared" si="16"/>
        <v>341850.86</v>
      </c>
      <c r="H54" s="471">
        <f t="shared" si="16"/>
        <v>350055.63000000006</v>
      </c>
      <c r="I54" s="471">
        <f t="shared" si="16"/>
        <v>413774.31</v>
      </c>
      <c r="J54" s="471">
        <f t="shared" si="16"/>
        <v>427384.21</v>
      </c>
      <c r="K54" s="471">
        <f t="shared" si="16"/>
        <v>257967.54</v>
      </c>
      <c r="L54" s="471">
        <f t="shared" si="16"/>
        <v>232519.54</v>
      </c>
      <c r="M54" s="471">
        <f t="shared" si="16"/>
        <v>276939.84999999998</v>
      </c>
    </row>
    <row r="55" spans="1:13" x14ac:dyDescent="0.25">
      <c r="A55" s="39" t="s">
        <v>59</v>
      </c>
      <c r="B55" s="587"/>
      <c r="C55" s="587"/>
      <c r="D55" s="587"/>
      <c r="E55" s="587"/>
      <c r="F55" s="587"/>
      <c r="G55" s="587"/>
      <c r="H55" s="587"/>
      <c r="I55" s="587"/>
      <c r="J55" s="587"/>
      <c r="K55" s="587"/>
      <c r="L55" s="587"/>
      <c r="M55" s="587"/>
    </row>
    <row r="56" spans="1:13" x14ac:dyDescent="0.25">
      <c r="A56" s="39" t="s">
        <v>58</v>
      </c>
      <c r="B56" s="588">
        <f>466245.48</f>
        <v>466245.48</v>
      </c>
      <c r="C56" s="588">
        <f t="shared" ref="C56:M56" si="17">B56</f>
        <v>466245.48</v>
      </c>
      <c r="D56" s="588">
        <f t="shared" si="17"/>
        <v>466245.48</v>
      </c>
      <c r="E56" s="588">
        <f t="shared" si="17"/>
        <v>466245.48</v>
      </c>
      <c r="F56" s="588">
        <f t="shared" si="17"/>
        <v>466245.48</v>
      </c>
      <c r="G56" s="588">
        <f t="shared" si="17"/>
        <v>466245.48</v>
      </c>
      <c r="H56" s="588">
        <f t="shared" si="17"/>
        <v>466245.48</v>
      </c>
      <c r="I56" s="588">
        <f t="shared" si="17"/>
        <v>466245.48</v>
      </c>
      <c r="J56" s="588">
        <f t="shared" si="17"/>
        <v>466245.48</v>
      </c>
      <c r="K56" s="588">
        <f t="shared" si="17"/>
        <v>466245.48</v>
      </c>
      <c r="L56" s="588">
        <f t="shared" si="17"/>
        <v>466245.48</v>
      </c>
      <c r="M56" s="588">
        <f t="shared" si="17"/>
        <v>466245.48</v>
      </c>
    </row>
    <row r="57" spans="1:13" x14ac:dyDescent="0.25">
      <c r="A57" s="39" t="s">
        <v>57</v>
      </c>
      <c r="B57" s="588">
        <f>-1840.12</f>
        <v>-1840.12</v>
      </c>
      <c r="C57" s="588">
        <f>-3880.81</f>
        <v>-3880.81</v>
      </c>
      <c r="D57" s="588">
        <f>14596.96</f>
        <v>14596.96</v>
      </c>
      <c r="E57" s="588">
        <f>11852.89</f>
        <v>11852.89</v>
      </c>
      <c r="F57" s="588">
        <f>11359.86</f>
        <v>11359.86</v>
      </c>
      <c r="G57" s="588">
        <f>8424.28</f>
        <v>8424.2800000000007</v>
      </c>
      <c r="H57" s="588">
        <f>-15743.78</f>
        <v>-15743.78</v>
      </c>
      <c r="I57" s="588">
        <f>-34146.07</f>
        <v>-34146.07</v>
      </c>
      <c r="J57" s="588">
        <f>-27366.94</f>
        <v>-27366.94</v>
      </c>
      <c r="K57" s="588">
        <f>76319.83</f>
        <v>76319.83</v>
      </c>
      <c r="L57" s="588">
        <f>76921.65</f>
        <v>76921.649999999994</v>
      </c>
      <c r="M57" s="588">
        <f>66716.5</f>
        <v>66716.5</v>
      </c>
    </row>
    <row r="58" spans="1:13" x14ac:dyDescent="0.25">
      <c r="A58" s="39" t="s">
        <v>56</v>
      </c>
      <c r="B58" s="471">
        <f t="shared" ref="B58:M58" si="18">(B56)+(B57)</f>
        <v>464405.36</v>
      </c>
      <c r="C58" s="471">
        <f t="shared" si="18"/>
        <v>462364.67</v>
      </c>
      <c r="D58" s="471">
        <f t="shared" si="18"/>
        <v>480842.44</v>
      </c>
      <c r="E58" s="471">
        <f t="shared" si="18"/>
        <v>478098.37</v>
      </c>
      <c r="F58" s="471">
        <f t="shared" si="18"/>
        <v>477605.33999999997</v>
      </c>
      <c r="G58" s="471">
        <f t="shared" si="18"/>
        <v>474669.76</v>
      </c>
      <c r="H58" s="471">
        <f t="shared" si="18"/>
        <v>450501.69999999995</v>
      </c>
      <c r="I58" s="471">
        <f t="shared" si="18"/>
        <v>432099.41</v>
      </c>
      <c r="J58" s="471">
        <f t="shared" si="18"/>
        <v>438878.54</v>
      </c>
      <c r="K58" s="471">
        <f t="shared" si="18"/>
        <v>542565.30999999994</v>
      </c>
      <c r="L58" s="471">
        <f t="shared" si="18"/>
        <v>543167.13</v>
      </c>
      <c r="M58" s="471">
        <f t="shared" si="18"/>
        <v>532961.98</v>
      </c>
    </row>
    <row r="59" spans="1:13" x14ac:dyDescent="0.25">
      <c r="A59" s="39" t="s">
        <v>55</v>
      </c>
      <c r="B59" s="471">
        <f t="shared" ref="B59:M59" si="19">(B54)+(B58)</f>
        <v>884105.86999999988</v>
      </c>
      <c r="C59" s="471">
        <f t="shared" si="19"/>
        <v>852300.77</v>
      </c>
      <c r="D59" s="471">
        <f t="shared" si="19"/>
        <v>871027.19</v>
      </c>
      <c r="E59" s="471">
        <f t="shared" si="19"/>
        <v>877509.13</v>
      </c>
      <c r="F59" s="471">
        <f t="shared" si="19"/>
        <v>871480.17999999993</v>
      </c>
      <c r="G59" s="471">
        <f t="shared" si="19"/>
        <v>816520.62</v>
      </c>
      <c r="H59" s="471">
        <f t="shared" si="19"/>
        <v>800557.33000000007</v>
      </c>
      <c r="I59" s="471">
        <f t="shared" si="19"/>
        <v>845873.72</v>
      </c>
      <c r="J59" s="471">
        <f t="shared" si="19"/>
        <v>866262.75</v>
      </c>
      <c r="K59" s="471">
        <f t="shared" si="19"/>
        <v>800532.85</v>
      </c>
      <c r="L59" s="471">
        <f t="shared" si="19"/>
        <v>775686.67</v>
      </c>
      <c r="M59" s="471">
        <f t="shared" si="19"/>
        <v>809901.83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6158-A7EB-4B66-848A-83426E715179}">
  <dimension ref="A1:K26"/>
  <sheetViews>
    <sheetView workbookViewId="0">
      <selection activeCell="B27" sqref="B27"/>
    </sheetView>
  </sheetViews>
  <sheetFormatPr defaultRowHeight="15" x14ac:dyDescent="0.25"/>
  <cols>
    <col min="1" max="1" width="30.42578125" customWidth="1"/>
    <col min="2" max="4" width="13.42578125" customWidth="1"/>
    <col min="5" max="5" width="1.28515625" customWidth="1"/>
    <col min="6" max="6" width="17.140625" customWidth="1"/>
    <col min="7" max="7" width="10.7109375" customWidth="1"/>
    <col min="8" max="9" width="15.85546875" customWidth="1"/>
    <col min="10" max="10" width="14.28515625" customWidth="1"/>
  </cols>
  <sheetData>
    <row r="1" spans="1:11" ht="18.75" x14ac:dyDescent="0.3">
      <c r="A1" s="72" t="s">
        <v>1034</v>
      </c>
    </row>
    <row r="2" spans="1:11" ht="19.5" thickBot="1" x14ac:dyDescent="0.35">
      <c r="A2" s="72" t="s">
        <v>1237</v>
      </c>
    </row>
    <row r="3" spans="1:11" ht="30" customHeight="1" x14ac:dyDescent="0.25">
      <c r="B3" s="715" t="s">
        <v>1377</v>
      </c>
      <c r="C3" s="716"/>
      <c r="D3" s="716"/>
      <c r="E3" s="82"/>
      <c r="F3" s="83" t="s">
        <v>1392</v>
      </c>
      <c r="H3" s="717" t="s">
        <v>1237</v>
      </c>
      <c r="I3" s="718"/>
      <c r="J3" s="718"/>
      <c r="K3" s="719"/>
    </row>
    <row r="4" spans="1:11" ht="30" customHeight="1" x14ac:dyDescent="0.25">
      <c r="B4" s="81" t="s">
        <v>102</v>
      </c>
      <c r="C4" s="81" t="s">
        <v>101</v>
      </c>
      <c r="D4" s="81" t="s">
        <v>1233</v>
      </c>
      <c r="E4" s="82"/>
      <c r="F4" s="84" t="s">
        <v>1236</v>
      </c>
      <c r="G4" s="82"/>
      <c r="H4" s="85" t="s">
        <v>1234</v>
      </c>
      <c r="I4" s="86" t="s">
        <v>1235</v>
      </c>
      <c r="J4" s="86" t="s">
        <v>1233</v>
      </c>
      <c r="K4" s="87" t="s">
        <v>575</v>
      </c>
    </row>
    <row r="5" spans="1:11" ht="15" customHeight="1" x14ac:dyDescent="0.25">
      <c r="A5" s="7" t="s">
        <v>115</v>
      </c>
      <c r="F5" s="77"/>
      <c r="H5" s="88"/>
      <c r="K5" s="89"/>
    </row>
    <row r="6" spans="1:11" x14ac:dyDescent="0.25">
      <c r="A6" s="12" t="s">
        <v>117</v>
      </c>
      <c r="B6" s="76">
        <v>286750.04000000004</v>
      </c>
      <c r="C6" s="76">
        <v>330000</v>
      </c>
      <c r="D6" s="76">
        <f>B6-C6</f>
        <v>-43249.959999999963</v>
      </c>
      <c r="E6" s="77"/>
      <c r="F6" s="77">
        <v>27499.996666666659</v>
      </c>
      <c r="H6" s="90">
        <f>B6+F6</f>
        <v>314250.03666666668</v>
      </c>
      <c r="I6" s="79">
        <v>362400</v>
      </c>
      <c r="J6" s="91">
        <f>H6-I6</f>
        <v>-48149.963333333319</v>
      </c>
      <c r="K6" s="75">
        <f>IF(I6=0,"",(H6)/(I6))</f>
        <v>0.86713586276674026</v>
      </c>
    </row>
    <row r="7" spans="1:11" x14ac:dyDescent="0.25">
      <c r="A7" s="12" t="s">
        <v>625</v>
      </c>
      <c r="B7" s="77">
        <v>17073</v>
      </c>
      <c r="C7" s="77">
        <v>10000</v>
      </c>
      <c r="D7" s="76">
        <f t="shared" ref="D7:D15" si="0">B7-C7</f>
        <v>7073</v>
      </c>
      <c r="E7" s="77"/>
      <c r="F7" s="77"/>
      <c r="H7" s="90">
        <f t="shared" ref="H7:H15" si="1">B7+F7</f>
        <v>17073</v>
      </c>
      <c r="I7" s="79">
        <v>10000</v>
      </c>
      <c r="J7" s="91">
        <f t="shared" ref="J7:J15" si="2">H7-I7</f>
        <v>7073</v>
      </c>
      <c r="K7" s="75">
        <f t="shared" ref="K7:K15" si="3">IF(I7=0,"",(H7)/(I7))</f>
        <v>1.7073</v>
      </c>
    </row>
    <row r="8" spans="1:11" x14ac:dyDescent="0.25">
      <c r="A8" s="12" t="s">
        <v>626</v>
      </c>
      <c r="B8" s="76">
        <v>56331.55</v>
      </c>
      <c r="C8" s="76">
        <v>48000</v>
      </c>
      <c r="D8" s="76">
        <f t="shared" si="0"/>
        <v>8331.5500000000029</v>
      </c>
      <c r="E8" s="77"/>
      <c r="F8" s="77">
        <v>5150.1937500000004</v>
      </c>
      <c r="H8" s="90">
        <f t="shared" si="1"/>
        <v>61481.743750000001</v>
      </c>
      <c r="I8" s="79">
        <v>49000</v>
      </c>
      <c r="J8" s="91">
        <f t="shared" si="2"/>
        <v>12481.743750000001</v>
      </c>
      <c r="K8" s="75">
        <f t="shared" si="3"/>
        <v>1.2547294642857143</v>
      </c>
    </row>
    <row r="9" spans="1:11" x14ac:dyDescent="0.25">
      <c r="A9" s="12" t="s">
        <v>627</v>
      </c>
      <c r="B9" s="77">
        <v>104125</v>
      </c>
      <c r="C9" s="77">
        <v>125000</v>
      </c>
      <c r="D9" s="76">
        <f t="shared" si="0"/>
        <v>-20875</v>
      </c>
      <c r="E9" s="77"/>
      <c r="F9" s="77"/>
      <c r="H9" s="90">
        <f t="shared" si="1"/>
        <v>104125</v>
      </c>
      <c r="I9" s="79">
        <v>125000</v>
      </c>
      <c r="J9" s="91">
        <f t="shared" si="2"/>
        <v>-20875</v>
      </c>
      <c r="K9" s="75">
        <f t="shared" si="3"/>
        <v>0.83299999999999996</v>
      </c>
    </row>
    <row r="10" spans="1:11" x14ac:dyDescent="0.25">
      <c r="A10" s="12" t="s">
        <v>628</v>
      </c>
      <c r="B10" s="76">
        <v>110500</v>
      </c>
      <c r="C10" s="76">
        <v>148500</v>
      </c>
      <c r="D10" s="76">
        <f t="shared" si="0"/>
        <v>-38000</v>
      </c>
      <c r="E10" s="77"/>
      <c r="F10" s="77">
        <v>6375</v>
      </c>
      <c r="H10" s="90">
        <f t="shared" si="1"/>
        <v>116875</v>
      </c>
      <c r="I10" s="79">
        <v>155500</v>
      </c>
      <c r="J10" s="91">
        <f t="shared" si="2"/>
        <v>-38625</v>
      </c>
      <c r="K10" s="75">
        <f t="shared" si="3"/>
        <v>0.75160771704180063</v>
      </c>
    </row>
    <row r="11" spans="1:11" x14ac:dyDescent="0.25">
      <c r="A11" s="12" t="s">
        <v>123</v>
      </c>
      <c r="B11" s="76">
        <v>18750</v>
      </c>
      <c r="C11" s="76">
        <v>27500</v>
      </c>
      <c r="D11" s="76">
        <f t="shared" si="0"/>
        <v>-8750</v>
      </c>
      <c r="E11" s="77"/>
      <c r="F11" s="77">
        <v>1250</v>
      </c>
      <c r="H11" s="90">
        <f t="shared" si="1"/>
        <v>20000</v>
      </c>
      <c r="I11" s="79">
        <v>30000</v>
      </c>
      <c r="J11" s="91">
        <f t="shared" si="2"/>
        <v>-10000</v>
      </c>
      <c r="K11" s="75">
        <f t="shared" si="3"/>
        <v>0.66666666666666663</v>
      </c>
    </row>
    <row r="12" spans="1:11" x14ac:dyDescent="0.25">
      <c r="A12" s="12" t="s">
        <v>124</v>
      </c>
      <c r="B12" s="77">
        <v>54912.5</v>
      </c>
      <c r="C12" s="77">
        <v>41800</v>
      </c>
      <c r="D12" s="76">
        <f t="shared" si="0"/>
        <v>13112.5</v>
      </c>
      <c r="E12" s="77"/>
      <c r="F12" s="77">
        <v>4785.3125</v>
      </c>
      <c r="H12" s="90">
        <f t="shared" si="1"/>
        <v>59697.8125</v>
      </c>
      <c r="I12" s="79">
        <v>45600</v>
      </c>
      <c r="J12" s="91">
        <f t="shared" si="2"/>
        <v>14097.8125</v>
      </c>
      <c r="K12" s="75">
        <f t="shared" si="3"/>
        <v>1.3091625548245613</v>
      </c>
    </row>
    <row r="13" spans="1:11" x14ac:dyDescent="0.25">
      <c r="A13" s="12" t="s">
        <v>1036</v>
      </c>
      <c r="B13" s="77">
        <v>30175</v>
      </c>
      <c r="C13" s="77">
        <v>55000</v>
      </c>
      <c r="D13" s="76">
        <f t="shared" si="0"/>
        <v>-24825</v>
      </c>
      <c r="E13" s="77"/>
      <c r="F13" s="77"/>
      <c r="H13" s="90">
        <f t="shared" si="1"/>
        <v>30175</v>
      </c>
      <c r="I13" s="79">
        <v>60000</v>
      </c>
      <c r="J13" s="91">
        <f t="shared" si="2"/>
        <v>-29825</v>
      </c>
      <c r="K13" s="75">
        <f t="shared" si="3"/>
        <v>0.50291666666666668</v>
      </c>
    </row>
    <row r="14" spans="1:11" x14ac:dyDescent="0.25">
      <c r="A14" s="12" t="s">
        <v>1133</v>
      </c>
      <c r="B14" s="77">
        <v>7998.0300000000007</v>
      </c>
      <c r="C14" s="77">
        <v>0</v>
      </c>
      <c r="D14" s="76">
        <f t="shared" si="0"/>
        <v>7998.0300000000007</v>
      </c>
      <c r="E14" s="77"/>
      <c r="F14" s="77">
        <v>999.75375000000008</v>
      </c>
      <c r="H14" s="90">
        <f t="shared" si="1"/>
        <v>8997.7837500000005</v>
      </c>
      <c r="I14" s="79">
        <v>0</v>
      </c>
      <c r="J14" s="91">
        <f t="shared" si="2"/>
        <v>8997.7837500000005</v>
      </c>
      <c r="K14" s="75" t="str">
        <f t="shared" si="3"/>
        <v/>
      </c>
    </row>
    <row r="15" spans="1:11" x14ac:dyDescent="0.25">
      <c r="A15" s="12" t="s">
        <v>997</v>
      </c>
      <c r="B15" s="77">
        <v>10090</v>
      </c>
      <c r="C15" s="77">
        <v>0</v>
      </c>
      <c r="D15" s="76">
        <f t="shared" si="0"/>
        <v>10090</v>
      </c>
      <c r="E15" s="77"/>
      <c r="F15" s="77">
        <v>10000</v>
      </c>
      <c r="H15" s="90">
        <f t="shared" si="1"/>
        <v>20090</v>
      </c>
      <c r="I15" s="79">
        <v>0</v>
      </c>
      <c r="J15" s="91">
        <f t="shared" si="2"/>
        <v>20090</v>
      </c>
      <c r="K15" s="75" t="str">
        <f t="shared" si="3"/>
        <v/>
      </c>
    </row>
    <row r="16" spans="1:11" x14ac:dyDescent="0.25">
      <c r="A16" s="19" t="s">
        <v>128</v>
      </c>
      <c r="B16" s="78">
        <f>SUM(B6:B15)</f>
        <v>696705.12000000011</v>
      </c>
      <c r="C16" s="78">
        <f t="shared" ref="C16:D16" si="4">SUM(C6:C15)</f>
        <v>785800</v>
      </c>
      <c r="D16" s="78">
        <f t="shared" si="4"/>
        <v>-89094.879999999961</v>
      </c>
      <c r="E16" s="77"/>
      <c r="F16" s="78">
        <f>SUM(F6:F15)</f>
        <v>56060.256666666661</v>
      </c>
      <c r="H16" s="92">
        <f>SUM(H6:H15)</f>
        <v>752765.37666666671</v>
      </c>
      <c r="I16" s="78">
        <f t="shared" ref="I16:J16" si="5">SUM(I6:I15)</f>
        <v>837500</v>
      </c>
      <c r="J16" s="78">
        <f t="shared" si="5"/>
        <v>-84734.623333333322</v>
      </c>
      <c r="K16" s="53">
        <f t="shared" ref="K16" si="6">IF(I16=0,"",(H16)/(I16))</f>
        <v>0.8988243303482587</v>
      </c>
    </row>
    <row r="17" spans="1:11" x14ac:dyDescent="0.25">
      <c r="A17" s="7" t="s">
        <v>130</v>
      </c>
      <c r="B17" s="77"/>
      <c r="C17" s="77"/>
      <c r="D17" s="77"/>
      <c r="E17" s="77"/>
      <c r="F17" s="77"/>
      <c r="H17" s="88"/>
      <c r="K17" s="89"/>
    </row>
    <row r="18" spans="1:11" x14ac:dyDescent="0.25">
      <c r="A18" s="12" t="s">
        <v>132</v>
      </c>
      <c r="B18" s="77">
        <v>32839.4</v>
      </c>
      <c r="C18" s="77">
        <v>25048.829999999998</v>
      </c>
      <c r="D18" s="77">
        <f t="shared" ref="D18:D22" si="7">B18-C18</f>
        <v>7790.5700000000033</v>
      </c>
      <c r="E18" s="77"/>
      <c r="F18" s="77">
        <v>3262.3875000000003</v>
      </c>
      <c r="H18" s="90">
        <f t="shared" ref="H18:H22" si="8">B18+F18</f>
        <v>36101.787499999999</v>
      </c>
      <c r="I18" s="79">
        <v>27122.76</v>
      </c>
      <c r="J18" s="91">
        <f t="shared" ref="J18:J22" si="9">H18-I18</f>
        <v>8979.0275000000001</v>
      </c>
      <c r="K18" s="75">
        <f t="shared" ref="K18:K22" si="10">IF(I18=0,"",(H18)/(I18))</f>
        <v>1.3310513937372155</v>
      </c>
    </row>
    <row r="19" spans="1:11" x14ac:dyDescent="0.25">
      <c r="A19" s="12" t="s">
        <v>134</v>
      </c>
      <c r="B19" s="77">
        <v>43542.6</v>
      </c>
      <c r="C19" s="77">
        <v>75150</v>
      </c>
      <c r="D19" s="77">
        <f t="shared" si="7"/>
        <v>-31607.4</v>
      </c>
      <c r="E19" s="77"/>
      <c r="F19" s="442">
        <v>0</v>
      </c>
      <c r="H19" s="90">
        <f t="shared" si="8"/>
        <v>43542.6</v>
      </c>
      <c r="I19" s="79">
        <v>75150</v>
      </c>
      <c r="J19" s="91">
        <f t="shared" si="9"/>
        <v>-31607.4</v>
      </c>
      <c r="K19" s="75">
        <f t="shared" si="10"/>
        <v>0.5794091816367265</v>
      </c>
    </row>
    <row r="20" spans="1:11" x14ac:dyDescent="0.25">
      <c r="A20" s="12" t="s">
        <v>135</v>
      </c>
      <c r="B20" s="77">
        <v>412506.88</v>
      </c>
      <c r="C20" s="77">
        <v>458005.88999999996</v>
      </c>
      <c r="D20" s="77">
        <f t="shared" si="7"/>
        <v>-45499.009999999951</v>
      </c>
      <c r="E20" s="77"/>
      <c r="F20" s="77">
        <v>39022.155000000006</v>
      </c>
      <c r="H20" s="90">
        <f t="shared" si="8"/>
        <v>451529.03500000003</v>
      </c>
      <c r="I20" s="79">
        <v>499420.17999999993</v>
      </c>
      <c r="J20" s="91">
        <f t="shared" si="9"/>
        <v>-47891.144999999902</v>
      </c>
      <c r="K20" s="75">
        <f t="shared" si="10"/>
        <v>0.90410650807101967</v>
      </c>
    </row>
    <row r="21" spans="1:11" x14ac:dyDescent="0.25">
      <c r="A21" s="12" t="s">
        <v>136</v>
      </c>
      <c r="B21" s="77">
        <v>119593.75000000001</v>
      </c>
      <c r="C21" s="77">
        <v>136750</v>
      </c>
      <c r="D21" s="77">
        <f t="shared" si="7"/>
        <v>-17156.249999999985</v>
      </c>
      <c r="E21" s="77"/>
      <c r="F21" s="77">
        <v>3965.5</v>
      </c>
      <c r="H21" s="90">
        <f t="shared" si="8"/>
        <v>123559.25000000001</v>
      </c>
      <c r="I21" s="79">
        <v>149000</v>
      </c>
      <c r="J21" s="91">
        <f t="shared" si="9"/>
        <v>-25440.749999999985</v>
      </c>
      <c r="K21" s="75">
        <f t="shared" si="10"/>
        <v>0.82925671140939605</v>
      </c>
    </row>
    <row r="22" spans="1:11" x14ac:dyDescent="0.25">
      <c r="A22" s="12" t="s">
        <v>139</v>
      </c>
      <c r="B22" s="77">
        <v>7310.4900000000007</v>
      </c>
      <c r="C22" s="77">
        <v>6215</v>
      </c>
      <c r="D22" s="77">
        <f t="shared" si="7"/>
        <v>1095.4900000000007</v>
      </c>
      <c r="E22" s="77"/>
      <c r="F22" s="77">
        <v>682.41125</v>
      </c>
      <c r="H22" s="90">
        <f t="shared" si="8"/>
        <v>7992.9012500000008</v>
      </c>
      <c r="I22" s="79">
        <v>6780</v>
      </c>
      <c r="J22" s="91">
        <f t="shared" si="9"/>
        <v>1212.9012500000008</v>
      </c>
      <c r="K22" s="75">
        <f t="shared" si="10"/>
        <v>1.1788939896755164</v>
      </c>
    </row>
    <row r="23" spans="1:11" x14ac:dyDescent="0.25">
      <c r="A23" s="19" t="s">
        <v>51</v>
      </c>
      <c r="B23" s="78">
        <f>SUM(B18:B22)</f>
        <v>615793.12</v>
      </c>
      <c r="C23" s="78">
        <f>SUM(C18:C22)</f>
        <v>701169.72</v>
      </c>
      <c r="D23" s="78">
        <f>SUM(D18:D22)</f>
        <v>-85376.599999999933</v>
      </c>
      <c r="E23" s="77"/>
      <c r="F23" s="78">
        <f>SUM(F18:F22)</f>
        <v>46932.453750000001</v>
      </c>
      <c r="H23" s="92">
        <f>SUM(H18:H22)</f>
        <v>662725.57374999998</v>
      </c>
      <c r="I23" s="78">
        <f>SUM(I18:I22)</f>
        <v>757472.94</v>
      </c>
      <c r="J23" s="78">
        <f>SUM(J18:J22)</f>
        <v>-94747.36624999989</v>
      </c>
      <c r="K23" s="53">
        <f t="shared" ref="K23:K24" si="11">IF(I23=0,"",(H23)/(I23))</f>
        <v>0.87491650031748991</v>
      </c>
    </row>
    <row r="24" spans="1:11" ht="15.75" thickBot="1" x14ac:dyDescent="0.3">
      <c r="A24" s="7" t="s">
        <v>53</v>
      </c>
      <c r="B24" s="80">
        <f>B16-B23</f>
        <v>80912.000000000116</v>
      </c>
      <c r="C24" s="80">
        <f t="shared" ref="C24" si="12">C16-C23</f>
        <v>84630.280000000028</v>
      </c>
      <c r="D24" s="80">
        <f>D16-D23</f>
        <v>-3718.2800000000279</v>
      </c>
      <c r="E24" s="77"/>
      <c r="F24" s="80">
        <f t="shared" ref="F24:J24" si="13">F16-F23</f>
        <v>9127.8029166666602</v>
      </c>
      <c r="H24" s="93">
        <f t="shared" si="13"/>
        <v>90039.802916666726</v>
      </c>
      <c r="I24" s="94">
        <f t="shared" si="13"/>
        <v>80027.060000000056</v>
      </c>
      <c r="J24" s="94">
        <f t="shared" si="13"/>
        <v>10012.742916666568</v>
      </c>
      <c r="K24" s="54">
        <f t="shared" si="11"/>
        <v>1.125116965644704</v>
      </c>
    </row>
    <row r="25" spans="1:11" ht="15.75" thickTop="1" x14ac:dyDescent="0.25">
      <c r="B25" s="79"/>
      <c r="C25" s="79"/>
      <c r="D25" s="79"/>
      <c r="E25" s="77"/>
      <c r="F25" s="77"/>
    </row>
    <row r="26" spans="1:11" x14ac:dyDescent="0.25">
      <c r="B26" s="91"/>
      <c r="C26" s="91"/>
      <c r="D26" s="91"/>
      <c r="E26" s="91">
        <f t="shared" ref="E26" si="14">E24-E25</f>
        <v>0</v>
      </c>
    </row>
  </sheetData>
  <mergeCells count="2">
    <mergeCell ref="B3:D3"/>
    <mergeCell ref="H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AE0A-A303-47B1-B6A0-7E126FD13BE4}">
  <dimension ref="A1:BF53"/>
  <sheetViews>
    <sheetView zoomScale="110" zoomScaleNormal="110" workbookViewId="0">
      <pane xSplit="6" ySplit="3" topLeftCell="G28" activePane="bottomRight" state="frozen"/>
      <selection activeCell="F40" sqref="F40"/>
      <selection pane="topRight" activeCell="F40" sqref="F40"/>
      <selection pane="bottomLeft" activeCell="F40" sqref="F40"/>
      <selection pane="bottomRight" activeCell="BJ45" sqref="BJ45"/>
    </sheetView>
  </sheetViews>
  <sheetFormatPr defaultColWidth="8.85546875" defaultRowHeight="15" outlineLevelCol="1" x14ac:dyDescent="0.25"/>
  <cols>
    <col min="1" max="1" width="35" style="578" customWidth="1"/>
    <col min="2" max="2" width="11.140625" style="578" bestFit="1" customWidth="1"/>
    <col min="3" max="3" width="11.85546875" style="582" customWidth="1"/>
    <col min="4" max="4" width="12.7109375" style="582" bestFit="1" customWidth="1"/>
    <col min="5" max="5" width="10.5703125" style="578" customWidth="1"/>
    <col min="6" max="6" width="11.28515625" style="578" customWidth="1"/>
    <col min="7" max="7" width="16.5703125" style="578" hidden="1" customWidth="1" outlineLevel="1"/>
    <col min="8" max="8" width="12.7109375" style="578" hidden="1" customWidth="1" outlineLevel="1"/>
    <col min="9" max="9" width="13.5703125" style="578" hidden="1" customWidth="1" outlineLevel="1"/>
    <col min="10" max="11" width="11.7109375" style="578" hidden="1" customWidth="1" outlineLevel="1"/>
    <col min="12" max="12" width="10.5703125" style="578" hidden="1" customWidth="1" outlineLevel="1"/>
    <col min="13" max="13" width="11.85546875" style="578" hidden="1" customWidth="1" outlineLevel="1"/>
    <col min="14" max="15" width="10.5703125" style="578" hidden="1" customWidth="1" outlineLevel="1"/>
    <col min="16" max="16" width="12" style="578" hidden="1" customWidth="1" outlineLevel="1"/>
    <col min="17" max="17" width="12" style="578" hidden="1" customWidth="1" outlineLevel="1" collapsed="1"/>
    <col min="18" max="18" width="10.85546875" style="578" hidden="1" customWidth="1" outlineLevel="1"/>
    <col min="19" max="20" width="11.85546875" style="578" hidden="1" customWidth="1" outlineLevel="1"/>
    <col min="21" max="21" width="10.85546875" style="578" hidden="1" customWidth="1" outlineLevel="1"/>
    <col min="22" max="23" width="11.5703125" style="578" hidden="1" customWidth="1" outlineLevel="1"/>
    <col min="24" max="24" width="10.85546875" style="578" hidden="1" customWidth="1" outlineLevel="1"/>
    <col min="25" max="25" width="12.28515625" style="578" hidden="1" customWidth="1" outlineLevel="1"/>
    <col min="26" max="27" width="10.85546875" style="578" hidden="1" customWidth="1" outlineLevel="1"/>
    <col min="28" max="28" width="11.5703125" style="578" hidden="1" customWidth="1" outlineLevel="1"/>
    <col min="29" max="30" width="10.85546875" style="578" hidden="1" customWidth="1" outlineLevel="1"/>
    <col min="31" max="31" width="12.7109375" style="578" hidden="1" customWidth="1" outlineLevel="1"/>
    <col min="32" max="33" width="11.28515625" style="578" hidden="1" customWidth="1" outlineLevel="1"/>
    <col min="34" max="34" width="11.28515625" style="578" hidden="1" customWidth="1" outlineLevel="1" collapsed="1"/>
    <col min="35" max="37" width="11.28515625" style="578" hidden="1" customWidth="1" outlineLevel="1"/>
    <col min="38" max="42" width="11.5703125" style="578" hidden="1" customWidth="1" outlineLevel="1"/>
    <col min="43" max="43" width="11.5703125" style="578" customWidth="1" collapsed="1"/>
    <col min="44" max="44" width="13" style="578" hidden="1" customWidth="1" outlineLevel="1"/>
    <col min="45" max="45" width="11.85546875" style="578" hidden="1" customWidth="1" outlineLevel="1"/>
    <col min="46" max="46" width="13" style="578" hidden="1" customWidth="1" outlineLevel="1"/>
    <col min="47" max="48" width="11.85546875" style="578" hidden="1" customWidth="1" outlineLevel="1"/>
    <col min="49" max="49" width="13" style="578" hidden="1" customWidth="1" outlineLevel="1"/>
    <col min="50" max="51" width="11.85546875" style="578" hidden="1" customWidth="1" outlineLevel="1"/>
    <col min="52" max="52" width="13" style="578" bestFit="1" customWidth="1" collapsed="1"/>
    <col min="53" max="54" width="10.5703125" style="578" bestFit="1" customWidth="1"/>
    <col min="55" max="55" width="11.5703125" style="578" bestFit="1" customWidth="1"/>
    <col min="56" max="57" width="10.5703125" style="578" bestFit="1" customWidth="1"/>
    <col min="58" max="58" width="11.5703125" style="578" bestFit="1" customWidth="1"/>
    <col min="59" max="66" width="8.85546875" style="578"/>
    <col min="67" max="67" width="11.5703125" style="578" bestFit="1" customWidth="1"/>
    <col min="68" max="68" width="10.5703125" style="578" bestFit="1" customWidth="1"/>
    <col min="69" max="16384" width="8.85546875" style="578"/>
  </cols>
  <sheetData>
    <row r="1" spans="1:58" ht="38.1" customHeight="1" thickBot="1" x14ac:dyDescent="0.6">
      <c r="A1" s="583" t="s">
        <v>1576</v>
      </c>
      <c r="B1" s="576"/>
      <c r="C1" s="577"/>
      <c r="D1" s="577"/>
      <c r="E1" s="576"/>
      <c r="F1" s="576"/>
    </row>
    <row r="2" spans="1:58" s="579" customFormat="1" ht="15.75" thickBot="1" x14ac:dyDescent="0.3">
      <c r="C2" s="584"/>
      <c r="D2" s="584"/>
      <c r="F2" s="585"/>
      <c r="G2" s="503">
        <v>44896</v>
      </c>
      <c r="H2" s="720">
        <v>44927</v>
      </c>
      <c r="I2" s="721"/>
      <c r="J2" s="722"/>
      <c r="K2" s="720">
        <v>44958</v>
      </c>
      <c r="L2" s="721"/>
      <c r="M2" s="722"/>
      <c r="N2" s="720">
        <v>44986</v>
      </c>
      <c r="O2" s="721"/>
      <c r="P2" s="722"/>
      <c r="Q2" s="720">
        <v>45017</v>
      </c>
      <c r="R2" s="721"/>
      <c r="S2" s="722"/>
      <c r="T2" s="720">
        <v>45047</v>
      </c>
      <c r="U2" s="721"/>
      <c r="V2" s="722"/>
      <c r="W2" s="720">
        <v>45078</v>
      </c>
      <c r="X2" s="721"/>
      <c r="Y2" s="722"/>
      <c r="Z2" s="720">
        <v>45108</v>
      </c>
      <c r="AA2" s="721"/>
      <c r="AB2" s="722"/>
      <c r="AC2" s="720">
        <v>45139</v>
      </c>
      <c r="AD2" s="721"/>
      <c r="AE2" s="722"/>
      <c r="AF2" s="720">
        <v>45170</v>
      </c>
      <c r="AG2" s="721"/>
      <c r="AH2" s="722"/>
      <c r="AI2" s="720">
        <v>45200</v>
      </c>
      <c r="AJ2" s="721"/>
      <c r="AK2" s="722"/>
      <c r="AL2" s="720">
        <v>45231</v>
      </c>
      <c r="AM2" s="721"/>
      <c r="AN2" s="722"/>
      <c r="AO2" s="720">
        <v>45261</v>
      </c>
      <c r="AP2" s="721"/>
      <c r="AQ2" s="722"/>
      <c r="AR2" s="720">
        <v>45292</v>
      </c>
      <c r="AS2" s="721"/>
      <c r="AT2" s="722"/>
      <c r="AU2" s="720">
        <v>45323</v>
      </c>
      <c r="AV2" s="721"/>
      <c r="AW2" s="722"/>
      <c r="AX2" s="720">
        <v>45352</v>
      </c>
      <c r="AY2" s="721"/>
      <c r="AZ2" s="722"/>
      <c r="BA2" s="720">
        <v>45383</v>
      </c>
      <c r="BB2" s="721"/>
      <c r="BC2" s="722"/>
      <c r="BD2" s="720">
        <v>45413</v>
      </c>
      <c r="BE2" s="721"/>
      <c r="BF2" s="722"/>
    </row>
    <row r="3" spans="1:58" s="579" customFormat="1" ht="15.75" thickBot="1" x14ac:dyDescent="0.3">
      <c r="A3" s="504" t="s">
        <v>142</v>
      </c>
      <c r="B3" s="505" t="s">
        <v>143</v>
      </c>
      <c r="C3" s="506" t="s">
        <v>144</v>
      </c>
      <c r="D3" s="506" t="s">
        <v>145</v>
      </c>
      <c r="E3" s="507" t="s">
        <v>146</v>
      </c>
      <c r="F3" s="507" t="s">
        <v>147</v>
      </c>
      <c r="G3" s="508" t="s">
        <v>149</v>
      </c>
      <c r="H3" s="508" t="s">
        <v>148</v>
      </c>
      <c r="I3" s="508">
        <v>44927</v>
      </c>
      <c r="J3" s="508" t="s">
        <v>149</v>
      </c>
      <c r="K3" s="508" t="s">
        <v>148</v>
      </c>
      <c r="L3" s="508">
        <v>44958</v>
      </c>
      <c r="M3" s="508" t="s">
        <v>149</v>
      </c>
      <c r="N3" s="508" t="s">
        <v>148</v>
      </c>
      <c r="O3" s="508">
        <v>44986</v>
      </c>
      <c r="P3" s="508" t="s">
        <v>149</v>
      </c>
      <c r="Q3" s="508" t="s">
        <v>148</v>
      </c>
      <c r="R3" s="508">
        <v>45017</v>
      </c>
      <c r="S3" s="508" t="s">
        <v>149</v>
      </c>
      <c r="T3" s="508" t="s">
        <v>148</v>
      </c>
      <c r="U3" s="508">
        <v>45047</v>
      </c>
      <c r="V3" s="508" t="s">
        <v>149</v>
      </c>
      <c r="W3" s="508" t="s">
        <v>148</v>
      </c>
      <c r="X3" s="508">
        <v>45078</v>
      </c>
      <c r="Y3" s="508" t="s">
        <v>149</v>
      </c>
      <c r="Z3" s="508" t="s">
        <v>148</v>
      </c>
      <c r="AA3" s="508">
        <v>45108</v>
      </c>
      <c r="AB3" s="508" t="s">
        <v>149</v>
      </c>
      <c r="AC3" s="508" t="s">
        <v>148</v>
      </c>
      <c r="AD3" s="508">
        <v>45139</v>
      </c>
      <c r="AE3" s="508" t="s">
        <v>149</v>
      </c>
      <c r="AF3" s="508" t="s">
        <v>148</v>
      </c>
      <c r="AG3" s="508">
        <v>45170</v>
      </c>
      <c r="AH3" s="508" t="s">
        <v>149</v>
      </c>
      <c r="AI3" s="508" t="s">
        <v>148</v>
      </c>
      <c r="AJ3" s="508">
        <v>45200</v>
      </c>
      <c r="AK3" s="508" t="s">
        <v>149</v>
      </c>
      <c r="AL3" s="508" t="s">
        <v>148</v>
      </c>
      <c r="AM3" s="508">
        <v>45231</v>
      </c>
      <c r="AN3" s="508" t="s">
        <v>149</v>
      </c>
      <c r="AO3" s="508" t="s">
        <v>148</v>
      </c>
      <c r="AP3" s="508">
        <v>45291</v>
      </c>
      <c r="AQ3" s="508" t="s">
        <v>149</v>
      </c>
      <c r="AR3" s="508" t="s">
        <v>148</v>
      </c>
      <c r="AS3" s="508">
        <v>45292</v>
      </c>
      <c r="AT3" s="508" t="s">
        <v>149</v>
      </c>
      <c r="AU3" s="508" t="s">
        <v>148</v>
      </c>
      <c r="AV3" s="508">
        <v>45323</v>
      </c>
      <c r="AW3" s="508" t="s">
        <v>149</v>
      </c>
      <c r="AX3" s="508" t="s">
        <v>148</v>
      </c>
      <c r="AY3" s="508">
        <v>45352</v>
      </c>
      <c r="AZ3" s="508" t="s">
        <v>149</v>
      </c>
      <c r="BA3" s="508" t="s">
        <v>148</v>
      </c>
      <c r="BB3" s="508">
        <v>45383</v>
      </c>
      <c r="BC3" s="508" t="s">
        <v>149</v>
      </c>
      <c r="BD3" s="508" t="s">
        <v>148</v>
      </c>
      <c r="BE3" s="508">
        <v>45413</v>
      </c>
      <c r="BF3" s="508" t="s">
        <v>149</v>
      </c>
    </row>
    <row r="4" spans="1:58" s="579" customFormat="1" x14ac:dyDescent="0.25">
      <c r="A4" s="202" t="s">
        <v>172</v>
      </c>
      <c r="B4" s="509" t="s">
        <v>836</v>
      </c>
      <c r="C4" s="689">
        <v>44682</v>
      </c>
      <c r="D4" s="689">
        <v>45046</v>
      </c>
      <c r="E4" s="690">
        <v>7500</v>
      </c>
      <c r="F4" s="691">
        <v>7500</v>
      </c>
      <c r="G4" s="692">
        <v>2500</v>
      </c>
      <c r="H4" s="692"/>
      <c r="I4" s="693">
        <f>$F$4/12</f>
        <v>625</v>
      </c>
      <c r="J4" s="692">
        <f>G4+H4-I4</f>
        <v>1875</v>
      </c>
      <c r="K4" s="692"/>
      <c r="L4" s="693">
        <f>$F$4/12</f>
        <v>625</v>
      </c>
      <c r="M4" s="692">
        <f>J4+K4-L4</f>
        <v>1250</v>
      </c>
      <c r="N4" s="693"/>
      <c r="O4" s="693">
        <f>$F$4/12</f>
        <v>625</v>
      </c>
      <c r="P4" s="692">
        <f>M4+N4-O4</f>
        <v>625</v>
      </c>
      <c r="Q4" s="692"/>
      <c r="R4" s="693">
        <f>$F$4/12</f>
        <v>625</v>
      </c>
      <c r="S4" s="692">
        <f>P4+Q4-R4</f>
        <v>0</v>
      </c>
      <c r="T4" s="692"/>
      <c r="U4" s="693"/>
      <c r="V4" s="692">
        <f>S4+T4-U4</f>
        <v>0</v>
      </c>
      <c r="W4" s="692"/>
      <c r="X4" s="693"/>
      <c r="Y4" s="692">
        <f>V4+W4-X4</f>
        <v>0</v>
      </c>
      <c r="Z4" s="693"/>
      <c r="AA4" s="693"/>
      <c r="AB4" s="692">
        <f>Y4+Z4-AA4</f>
        <v>0</v>
      </c>
      <c r="AC4" s="693"/>
      <c r="AD4" s="693"/>
      <c r="AE4" s="692">
        <f>AB4+AC4-AD4</f>
        <v>0</v>
      </c>
      <c r="AF4" s="692"/>
      <c r="AG4" s="693"/>
      <c r="AH4" s="692">
        <f>AE4+AF4-AG4</f>
        <v>0</v>
      </c>
      <c r="AI4" s="692"/>
      <c r="AJ4" s="693"/>
      <c r="AK4" s="692">
        <f>AH4+AI4-AJ4</f>
        <v>0</v>
      </c>
      <c r="AL4" s="692"/>
      <c r="AM4" s="693"/>
      <c r="AN4" s="692">
        <f t="shared" ref="AN4:AN9" si="0">AK4+AL4-AM4</f>
        <v>0</v>
      </c>
      <c r="AO4" s="692"/>
      <c r="AP4" s="693"/>
      <c r="AQ4" s="692">
        <f t="shared" ref="AQ4:AQ9" si="1">AN4+AO4-AP4</f>
        <v>0</v>
      </c>
      <c r="AR4" s="692"/>
      <c r="AS4" s="693"/>
      <c r="AT4" s="692">
        <f t="shared" ref="AT4:AT9" si="2">AQ4+AR4-AS4</f>
        <v>0</v>
      </c>
      <c r="AU4" s="692"/>
      <c r="AV4" s="693"/>
      <c r="AW4" s="692">
        <f t="shared" ref="AW4:AW9" si="3">AT4+AU4-AV4</f>
        <v>0</v>
      </c>
      <c r="AX4" s="692"/>
      <c r="AY4" s="693"/>
      <c r="AZ4" s="692">
        <f t="shared" ref="AZ4:AZ9" si="4">AW4+AX4-AY4</f>
        <v>0</v>
      </c>
      <c r="BA4" s="692"/>
      <c r="BB4" s="693"/>
      <c r="BC4" s="692">
        <f t="shared" ref="BC4:BC9" si="5">AZ4+BA4-BB4</f>
        <v>0</v>
      </c>
      <c r="BD4" s="692"/>
      <c r="BE4" s="693"/>
      <c r="BF4" s="692">
        <f t="shared" ref="BF4:BF9" si="6">BC4+BD4-BE4</f>
        <v>0</v>
      </c>
    </row>
    <row r="5" spans="1:58" s="579" customFormat="1" x14ac:dyDescent="0.25">
      <c r="A5" s="202" t="s">
        <v>1344</v>
      </c>
      <c r="B5" s="509" t="s">
        <v>1345</v>
      </c>
      <c r="C5" s="689">
        <v>45261</v>
      </c>
      <c r="D5" s="689">
        <v>45626</v>
      </c>
      <c r="E5" s="690">
        <v>7500</v>
      </c>
      <c r="F5" s="691">
        <v>7500</v>
      </c>
      <c r="G5" s="692"/>
      <c r="H5" s="692"/>
      <c r="I5" s="693"/>
      <c r="J5" s="692"/>
      <c r="K5" s="692"/>
      <c r="L5" s="693"/>
      <c r="M5" s="692"/>
      <c r="N5" s="693"/>
      <c r="O5" s="693"/>
      <c r="P5" s="692"/>
      <c r="Q5" s="692"/>
      <c r="R5" s="693"/>
      <c r="S5" s="692"/>
      <c r="T5" s="692"/>
      <c r="U5" s="693"/>
      <c r="V5" s="692"/>
      <c r="W5" s="692"/>
      <c r="X5" s="693"/>
      <c r="Y5" s="692"/>
      <c r="Z5" s="693"/>
      <c r="AA5" s="693"/>
      <c r="AB5" s="692"/>
      <c r="AC5" s="693"/>
      <c r="AD5" s="693"/>
      <c r="AE5" s="692"/>
      <c r="AF5" s="692"/>
      <c r="AG5" s="693"/>
      <c r="AH5" s="692"/>
      <c r="AI5" s="692"/>
      <c r="AJ5" s="693"/>
      <c r="AK5" s="692"/>
      <c r="AL5" s="692">
        <v>7500</v>
      </c>
      <c r="AM5" s="692"/>
      <c r="AN5" s="692">
        <f t="shared" si="0"/>
        <v>7500</v>
      </c>
      <c r="AO5" s="692"/>
      <c r="AP5" s="692">
        <f>$F$5/12</f>
        <v>625</v>
      </c>
      <c r="AQ5" s="692">
        <f t="shared" si="1"/>
        <v>6875</v>
      </c>
      <c r="AR5" s="692"/>
      <c r="AS5" s="692">
        <f t="shared" ref="AS5:BE5" si="7">$F$5/12</f>
        <v>625</v>
      </c>
      <c r="AT5" s="692">
        <f t="shared" si="2"/>
        <v>6250</v>
      </c>
      <c r="AU5" s="692"/>
      <c r="AV5" s="692">
        <f t="shared" si="7"/>
        <v>625</v>
      </c>
      <c r="AW5" s="692">
        <f t="shared" si="3"/>
        <v>5625</v>
      </c>
      <c r="AX5" s="692"/>
      <c r="AY5" s="692">
        <f t="shared" si="7"/>
        <v>625</v>
      </c>
      <c r="AZ5" s="692">
        <f t="shared" si="4"/>
        <v>5000</v>
      </c>
      <c r="BA5" s="692"/>
      <c r="BB5" s="692">
        <f t="shared" si="7"/>
        <v>625</v>
      </c>
      <c r="BC5" s="692">
        <f t="shared" si="5"/>
        <v>4375</v>
      </c>
      <c r="BD5" s="692"/>
      <c r="BE5" s="692">
        <f t="shared" si="7"/>
        <v>625</v>
      </c>
      <c r="BF5" s="692">
        <f t="shared" si="6"/>
        <v>3750</v>
      </c>
    </row>
    <row r="6" spans="1:58" s="579" customFormat="1" x14ac:dyDescent="0.25">
      <c r="A6" s="227" t="s">
        <v>1035</v>
      </c>
      <c r="B6" s="227" t="s">
        <v>1528</v>
      </c>
      <c r="C6" s="510">
        <v>45323</v>
      </c>
      <c r="D6" s="510">
        <v>45688</v>
      </c>
      <c r="E6" s="511">
        <v>7500</v>
      </c>
      <c r="F6" s="691">
        <v>7500</v>
      </c>
      <c r="G6" s="692"/>
      <c r="H6" s="692"/>
      <c r="I6" s="692"/>
      <c r="J6" s="692">
        <f>G6+H6-I6</f>
        <v>0</v>
      </c>
      <c r="K6" s="692">
        <v>7500</v>
      </c>
      <c r="L6" s="692">
        <f>$F$6/12</f>
        <v>625</v>
      </c>
      <c r="M6" s="692">
        <f>J6+K6-L6</f>
        <v>6875</v>
      </c>
      <c r="N6" s="692"/>
      <c r="O6" s="692">
        <f>$F$6/12</f>
        <v>625</v>
      </c>
      <c r="P6" s="692">
        <f>M6+N6-O6</f>
        <v>6250</v>
      </c>
      <c r="Q6" s="692"/>
      <c r="R6" s="692">
        <f>$F$6/12</f>
        <v>625</v>
      </c>
      <c r="S6" s="692">
        <f>P6+Q6-R6</f>
        <v>5625</v>
      </c>
      <c r="T6" s="692"/>
      <c r="U6" s="692">
        <f>$F$6/12</f>
        <v>625</v>
      </c>
      <c r="V6" s="692">
        <f>S6+T6-U6</f>
        <v>5000</v>
      </c>
      <c r="W6" s="692"/>
      <c r="X6" s="692">
        <f>$F$6/12</f>
        <v>625</v>
      </c>
      <c r="Y6" s="692">
        <f>V6+W6-X6</f>
        <v>4375</v>
      </c>
      <c r="Z6" s="692"/>
      <c r="AA6" s="692">
        <f>$F$6/12</f>
        <v>625</v>
      </c>
      <c r="AB6" s="692">
        <f>Y6+Z6-AA6</f>
        <v>3750</v>
      </c>
      <c r="AC6" s="692"/>
      <c r="AD6" s="692">
        <f>$F$6/12</f>
        <v>625</v>
      </c>
      <c r="AE6" s="692">
        <f>AB6+AC6-AD6</f>
        <v>3125</v>
      </c>
      <c r="AF6" s="692"/>
      <c r="AG6" s="692">
        <f>$F$6/12</f>
        <v>625</v>
      </c>
      <c r="AH6" s="692">
        <f>AE6+AF6-AG6</f>
        <v>2500</v>
      </c>
      <c r="AI6" s="692"/>
      <c r="AJ6" s="692">
        <f>$F$6/12</f>
        <v>625</v>
      </c>
      <c r="AK6" s="692">
        <f>AH6+AI6-AJ6</f>
        <v>1875</v>
      </c>
      <c r="AL6" s="692"/>
      <c r="AM6" s="692">
        <f>$F$6/12</f>
        <v>625</v>
      </c>
      <c r="AN6" s="692">
        <f t="shared" si="0"/>
        <v>1250</v>
      </c>
      <c r="AO6" s="692"/>
      <c r="AP6" s="692">
        <f>$F$6/12</f>
        <v>625</v>
      </c>
      <c r="AQ6" s="692">
        <f t="shared" si="1"/>
        <v>625</v>
      </c>
      <c r="AR6" s="692"/>
      <c r="AS6" s="692">
        <f>$F$6/12</f>
        <v>625</v>
      </c>
      <c r="AT6" s="692">
        <f t="shared" si="2"/>
        <v>0</v>
      </c>
      <c r="AU6" s="692">
        <v>7500</v>
      </c>
      <c r="AV6" s="692">
        <f>$F$6/12</f>
        <v>625</v>
      </c>
      <c r="AW6" s="692">
        <f t="shared" si="3"/>
        <v>6875</v>
      </c>
      <c r="AX6" s="512"/>
      <c r="AY6" s="692">
        <f>$F$6/12</f>
        <v>625</v>
      </c>
      <c r="AZ6" s="692">
        <f t="shared" si="4"/>
        <v>6250</v>
      </c>
      <c r="BA6" s="692"/>
      <c r="BB6" s="692">
        <f t="shared" ref="BB6:BE6" si="8">$F$6/12</f>
        <v>625</v>
      </c>
      <c r="BC6" s="692">
        <f t="shared" si="5"/>
        <v>5625</v>
      </c>
      <c r="BD6" s="692"/>
      <c r="BE6" s="692">
        <f t="shared" si="8"/>
        <v>625</v>
      </c>
      <c r="BF6" s="692">
        <f t="shared" si="6"/>
        <v>5000</v>
      </c>
    </row>
    <row r="7" spans="1:58" s="579" customFormat="1" x14ac:dyDescent="0.25">
      <c r="A7" s="202" t="s">
        <v>596</v>
      </c>
      <c r="B7" s="202" t="s">
        <v>1198</v>
      </c>
      <c r="C7" s="694">
        <v>45108</v>
      </c>
      <c r="D7" s="694">
        <v>45473</v>
      </c>
      <c r="E7" s="513">
        <v>15000</v>
      </c>
      <c r="F7" s="695">
        <v>11500</v>
      </c>
      <c r="G7" s="692">
        <v>9000</v>
      </c>
      <c r="H7" s="692"/>
      <c r="I7" s="692">
        <v>1500</v>
      </c>
      <c r="J7" s="692">
        <f>G7+H7-I7</f>
        <v>7500</v>
      </c>
      <c r="K7" s="692"/>
      <c r="L7" s="692">
        <v>1500</v>
      </c>
      <c r="M7" s="692">
        <f>J7+K7-L7</f>
        <v>6000</v>
      </c>
      <c r="N7" s="692"/>
      <c r="O7" s="692">
        <v>1500</v>
      </c>
      <c r="P7" s="692">
        <f>M7+N7-O7</f>
        <v>4500</v>
      </c>
      <c r="Q7" s="692"/>
      <c r="R7" s="692">
        <v>1500</v>
      </c>
      <c r="S7" s="692">
        <f>P7+Q7-R7</f>
        <v>3000</v>
      </c>
      <c r="T7" s="692"/>
      <c r="U7" s="692">
        <v>1500</v>
      </c>
      <c r="V7" s="692">
        <f>S7+T7-U7</f>
        <v>1500</v>
      </c>
      <c r="W7" s="692"/>
      <c r="X7" s="692">
        <v>1500</v>
      </c>
      <c r="Y7" s="692">
        <f>V7+W7-X7</f>
        <v>0</v>
      </c>
      <c r="Z7" s="692">
        <v>11500</v>
      </c>
      <c r="AA7" s="692">
        <f>ROUND(11500/12,2)</f>
        <v>958.33</v>
      </c>
      <c r="AB7" s="692">
        <f>Y7+Z7-AA7</f>
        <v>10541.67</v>
      </c>
      <c r="AC7" s="692"/>
      <c r="AD7" s="692">
        <f>ROUND(11500/12,2)</f>
        <v>958.33</v>
      </c>
      <c r="AE7" s="692">
        <f>AB7+AC7-AD7</f>
        <v>9583.34</v>
      </c>
      <c r="AF7" s="692"/>
      <c r="AG7" s="692">
        <f>ROUND(11500/12,2)</f>
        <v>958.33</v>
      </c>
      <c r="AH7" s="692">
        <f>AE7+AF7-AG7</f>
        <v>8625.01</v>
      </c>
      <c r="AI7" s="692"/>
      <c r="AJ7" s="692">
        <f t="shared" ref="AJ7:BE7" si="9">ROUND(11500/12,2)</f>
        <v>958.33</v>
      </c>
      <c r="AK7" s="692">
        <f>AH7+AI7-AJ7</f>
        <v>7666.68</v>
      </c>
      <c r="AL7" s="692"/>
      <c r="AM7" s="692">
        <f t="shared" si="9"/>
        <v>958.33</v>
      </c>
      <c r="AN7" s="692">
        <f t="shared" si="0"/>
        <v>6708.35</v>
      </c>
      <c r="AO7" s="692"/>
      <c r="AP7" s="692">
        <f t="shared" si="9"/>
        <v>958.33</v>
      </c>
      <c r="AQ7" s="692">
        <f t="shared" si="1"/>
        <v>5750.02</v>
      </c>
      <c r="AR7" s="692"/>
      <c r="AS7" s="692">
        <f t="shared" si="9"/>
        <v>958.33</v>
      </c>
      <c r="AT7" s="692">
        <f t="shared" si="2"/>
        <v>4791.6900000000005</v>
      </c>
      <c r="AU7" s="692"/>
      <c r="AV7" s="692">
        <f t="shared" si="9"/>
        <v>958.33</v>
      </c>
      <c r="AW7" s="692">
        <f t="shared" si="3"/>
        <v>3833.3600000000006</v>
      </c>
      <c r="AX7" s="512"/>
      <c r="AY7" s="692">
        <f t="shared" si="9"/>
        <v>958.33</v>
      </c>
      <c r="AZ7" s="692">
        <f t="shared" si="4"/>
        <v>2875.0300000000007</v>
      </c>
      <c r="BA7" s="692"/>
      <c r="BB7" s="692">
        <f t="shared" si="9"/>
        <v>958.33</v>
      </c>
      <c r="BC7" s="692">
        <f t="shared" si="5"/>
        <v>1916.7000000000007</v>
      </c>
      <c r="BD7" s="692"/>
      <c r="BE7" s="692">
        <f t="shared" si="9"/>
        <v>958.33</v>
      </c>
      <c r="BF7" s="692">
        <f t="shared" si="6"/>
        <v>958.37000000000069</v>
      </c>
    </row>
    <row r="8" spans="1:58" s="579" customFormat="1" x14ac:dyDescent="0.25">
      <c r="A8" s="227" t="s">
        <v>150</v>
      </c>
      <c r="B8" s="227" t="s">
        <v>1180</v>
      </c>
      <c r="C8" s="689">
        <v>45108</v>
      </c>
      <c r="D8" s="689">
        <v>45473</v>
      </c>
      <c r="E8" s="690">
        <v>7500</v>
      </c>
      <c r="F8" s="691">
        <v>7500</v>
      </c>
      <c r="G8" s="692">
        <v>3750</v>
      </c>
      <c r="H8" s="692"/>
      <c r="I8" s="692">
        <f>$F$8/12</f>
        <v>625</v>
      </c>
      <c r="J8" s="692">
        <f>G8+H8-I8</f>
        <v>3125</v>
      </c>
      <c r="K8" s="692"/>
      <c r="L8" s="692">
        <f>$F$8/12</f>
        <v>625</v>
      </c>
      <c r="M8" s="692">
        <f>J8+K8-L8</f>
        <v>2500</v>
      </c>
      <c r="N8" s="692"/>
      <c r="O8" s="692">
        <f>$F$8/12</f>
        <v>625</v>
      </c>
      <c r="P8" s="692">
        <f>M8+N8-O8</f>
        <v>1875</v>
      </c>
      <c r="Q8" s="692"/>
      <c r="R8" s="692">
        <f>$F$8/12</f>
        <v>625</v>
      </c>
      <c r="S8" s="692">
        <f>P8+Q8-R8</f>
        <v>1250</v>
      </c>
      <c r="T8" s="692"/>
      <c r="U8" s="692">
        <f>$F$8/12</f>
        <v>625</v>
      </c>
      <c r="V8" s="692">
        <f>S8+T8-U8</f>
        <v>625</v>
      </c>
      <c r="W8" s="692"/>
      <c r="X8" s="692">
        <f>$F$8/12</f>
        <v>625</v>
      </c>
      <c r="Y8" s="692">
        <f>V8+W8-X8</f>
        <v>0</v>
      </c>
      <c r="Z8" s="692">
        <v>7500</v>
      </c>
      <c r="AA8" s="692">
        <f>$F$8/12</f>
        <v>625</v>
      </c>
      <c r="AB8" s="692">
        <f>Y8+Z8-AA8</f>
        <v>6875</v>
      </c>
      <c r="AC8" s="692"/>
      <c r="AD8" s="692">
        <f>$F$8/12</f>
        <v>625</v>
      </c>
      <c r="AE8" s="692">
        <f>AB8+AC8-AD8</f>
        <v>6250</v>
      </c>
      <c r="AF8" s="692"/>
      <c r="AG8" s="692">
        <f t="shared" ref="AG8:BE8" si="10">$F$8/12</f>
        <v>625</v>
      </c>
      <c r="AH8" s="692">
        <f>AE8+AF8-AG8</f>
        <v>5625</v>
      </c>
      <c r="AI8" s="692"/>
      <c r="AJ8" s="692">
        <f t="shared" si="10"/>
        <v>625</v>
      </c>
      <c r="AK8" s="692">
        <f>AH8+AI8-AJ8</f>
        <v>5000</v>
      </c>
      <c r="AL8" s="692"/>
      <c r="AM8" s="692">
        <f t="shared" si="10"/>
        <v>625</v>
      </c>
      <c r="AN8" s="692">
        <f t="shared" si="0"/>
        <v>4375</v>
      </c>
      <c r="AO8" s="692"/>
      <c r="AP8" s="692">
        <f t="shared" si="10"/>
        <v>625</v>
      </c>
      <c r="AQ8" s="692">
        <f t="shared" si="1"/>
        <v>3750</v>
      </c>
      <c r="AR8" s="692"/>
      <c r="AS8" s="692">
        <f t="shared" si="10"/>
        <v>625</v>
      </c>
      <c r="AT8" s="692">
        <f t="shared" si="2"/>
        <v>3125</v>
      </c>
      <c r="AU8" s="692"/>
      <c r="AV8" s="692">
        <f t="shared" si="10"/>
        <v>625</v>
      </c>
      <c r="AW8" s="692">
        <f t="shared" si="3"/>
        <v>2500</v>
      </c>
      <c r="AX8" s="512"/>
      <c r="AY8" s="692">
        <f t="shared" si="10"/>
        <v>625</v>
      </c>
      <c r="AZ8" s="692">
        <f t="shared" si="4"/>
        <v>1875</v>
      </c>
      <c r="BA8" s="692"/>
      <c r="BB8" s="692">
        <f t="shared" si="10"/>
        <v>625</v>
      </c>
      <c r="BC8" s="692">
        <f t="shared" si="5"/>
        <v>1250</v>
      </c>
      <c r="BD8" s="692"/>
      <c r="BE8" s="692">
        <f t="shared" si="10"/>
        <v>625</v>
      </c>
      <c r="BF8" s="692">
        <f t="shared" si="6"/>
        <v>625</v>
      </c>
    </row>
    <row r="9" spans="1:58" s="579" customFormat="1" x14ac:dyDescent="0.25">
      <c r="A9" s="227" t="s">
        <v>221</v>
      </c>
      <c r="B9" s="227" t="s">
        <v>1447</v>
      </c>
      <c r="C9" s="689">
        <v>45139</v>
      </c>
      <c r="D9" s="689">
        <v>45504</v>
      </c>
      <c r="E9" s="690">
        <v>7500</v>
      </c>
      <c r="F9" s="691">
        <v>7500</v>
      </c>
      <c r="G9" s="692">
        <v>4375</v>
      </c>
      <c r="H9" s="692"/>
      <c r="I9" s="692">
        <f>$F$9/12</f>
        <v>625</v>
      </c>
      <c r="J9" s="692">
        <f>G9+H9-I9</f>
        <v>3750</v>
      </c>
      <c r="K9" s="692"/>
      <c r="L9" s="692">
        <f>$F$9/12</f>
        <v>625</v>
      </c>
      <c r="M9" s="692">
        <f>J9+K9-L9</f>
        <v>3125</v>
      </c>
      <c r="N9" s="692"/>
      <c r="O9" s="692">
        <f>$F$9/12</f>
        <v>625</v>
      </c>
      <c r="P9" s="692">
        <f>M9+N9-O9</f>
        <v>2500</v>
      </c>
      <c r="Q9" s="692"/>
      <c r="R9" s="692">
        <f>$F$9/12</f>
        <v>625</v>
      </c>
      <c r="S9" s="692">
        <f>P9+Q9-R9</f>
        <v>1875</v>
      </c>
      <c r="T9" s="692"/>
      <c r="U9" s="692">
        <f>$F$9/12</f>
        <v>625</v>
      </c>
      <c r="V9" s="692">
        <f>S9+T9-U9</f>
        <v>1250</v>
      </c>
      <c r="W9" s="692"/>
      <c r="X9" s="692">
        <f>$F$9/12</f>
        <v>625</v>
      </c>
      <c r="Y9" s="692">
        <f>V9+W9-X9</f>
        <v>625</v>
      </c>
      <c r="Z9" s="692"/>
      <c r="AA9" s="692">
        <f>$F$9/12</f>
        <v>625</v>
      </c>
      <c r="AB9" s="692">
        <f>Y9+Z9-AA9</f>
        <v>0</v>
      </c>
      <c r="AC9" s="692">
        <v>7500</v>
      </c>
      <c r="AD9" s="692">
        <f>$F$9/12</f>
        <v>625</v>
      </c>
      <c r="AE9" s="692">
        <f>AB9+AC9-AD9</f>
        <v>6875</v>
      </c>
      <c r="AF9" s="692"/>
      <c r="AG9" s="692">
        <f>$F$9/12</f>
        <v>625</v>
      </c>
      <c r="AH9" s="692">
        <f>AE9+AF9-AG9</f>
        <v>6250</v>
      </c>
      <c r="AI9" s="692"/>
      <c r="AJ9" s="692">
        <f>$F$9/12</f>
        <v>625</v>
      </c>
      <c r="AK9" s="692">
        <f>AH9+AI9-AJ9</f>
        <v>5625</v>
      </c>
      <c r="AL9" s="692"/>
      <c r="AM9" s="692">
        <f>$F$9/12</f>
        <v>625</v>
      </c>
      <c r="AN9" s="692">
        <f t="shared" si="0"/>
        <v>5000</v>
      </c>
      <c r="AO9" s="692"/>
      <c r="AP9" s="692">
        <f>$F$9/12</f>
        <v>625</v>
      </c>
      <c r="AQ9" s="692">
        <f t="shared" si="1"/>
        <v>4375</v>
      </c>
      <c r="AR9" s="692"/>
      <c r="AS9" s="692">
        <f>$F$9/12</f>
        <v>625</v>
      </c>
      <c r="AT9" s="692">
        <f t="shared" si="2"/>
        <v>3750</v>
      </c>
      <c r="AU9" s="692"/>
      <c r="AV9" s="692">
        <f>$F$9/12</f>
        <v>625</v>
      </c>
      <c r="AW9" s="692">
        <f t="shared" si="3"/>
        <v>3125</v>
      </c>
      <c r="AX9" s="512"/>
      <c r="AY9" s="692">
        <f t="shared" ref="AY9:BE9" si="11">$F$9/12</f>
        <v>625</v>
      </c>
      <c r="AZ9" s="692">
        <f t="shared" si="4"/>
        <v>2500</v>
      </c>
      <c r="BA9" s="692"/>
      <c r="BB9" s="692">
        <f t="shared" si="11"/>
        <v>625</v>
      </c>
      <c r="BC9" s="692">
        <f t="shared" si="5"/>
        <v>1875</v>
      </c>
      <c r="BD9" s="692"/>
      <c r="BE9" s="692">
        <f t="shared" si="11"/>
        <v>625</v>
      </c>
      <c r="BF9" s="692">
        <f t="shared" si="6"/>
        <v>1250</v>
      </c>
    </row>
    <row r="10" spans="1:58" s="579" customFormat="1" x14ac:dyDescent="0.25">
      <c r="A10" s="227" t="s">
        <v>576</v>
      </c>
      <c r="B10" s="227" t="s">
        <v>1577</v>
      </c>
      <c r="C10" s="689">
        <v>45383</v>
      </c>
      <c r="D10" s="689">
        <v>45747</v>
      </c>
      <c r="E10" s="690">
        <v>15000</v>
      </c>
      <c r="F10" s="691">
        <v>11500</v>
      </c>
      <c r="G10" s="692">
        <v>2875.03</v>
      </c>
      <c r="H10" s="692"/>
      <c r="I10" s="692">
        <f>ROUND($F$10/12,2)</f>
        <v>958.33</v>
      </c>
      <c r="J10" s="692">
        <f>ROUND(G10+H10-I10,2)</f>
        <v>1916.7</v>
      </c>
      <c r="K10" s="692"/>
      <c r="L10" s="692">
        <f>ROUND($F$10/12,2)</f>
        <v>958.33</v>
      </c>
      <c r="M10" s="692">
        <f>ROUND(J10+K10-L10,2)</f>
        <v>958.37</v>
      </c>
      <c r="N10" s="692"/>
      <c r="O10" s="692">
        <f>ROUND($F$10/12,2)+0.04</f>
        <v>958.37</v>
      </c>
      <c r="P10" s="692">
        <f>ROUND(M10+N10-O10,2)</f>
        <v>0</v>
      </c>
      <c r="Q10" s="692">
        <v>11500</v>
      </c>
      <c r="R10" s="692">
        <f>ROUND($F$10/12,2)</f>
        <v>958.33</v>
      </c>
      <c r="S10" s="692">
        <f>ROUND(P10+Q10-R10,2)</f>
        <v>10541.67</v>
      </c>
      <c r="T10" s="692"/>
      <c r="U10" s="692">
        <f>ROUND($F$10/12,2)</f>
        <v>958.33</v>
      </c>
      <c r="V10" s="692">
        <f>ROUND(S10+T10-U10,2)</f>
        <v>9583.34</v>
      </c>
      <c r="W10" s="692"/>
      <c r="X10" s="692">
        <f>ROUND($F$10/12,2)</f>
        <v>958.33</v>
      </c>
      <c r="Y10" s="692">
        <f>ROUND(V10+W10-X10,2)</f>
        <v>8625.01</v>
      </c>
      <c r="Z10" s="692"/>
      <c r="AA10" s="692">
        <f>ROUND($F$10/12,2)</f>
        <v>958.33</v>
      </c>
      <c r="AB10" s="692">
        <f>ROUND(Y10+Z10-AA10,2)</f>
        <v>7666.68</v>
      </c>
      <c r="AC10" s="692"/>
      <c r="AD10" s="692">
        <f>ROUND($F$10/12,2)</f>
        <v>958.33</v>
      </c>
      <c r="AE10" s="692">
        <f>ROUND(AB10+AC10-AD10,2)</f>
        <v>6708.35</v>
      </c>
      <c r="AF10" s="692"/>
      <c r="AG10" s="692">
        <f t="shared" ref="AG10:AV10" si="12">ROUND($F$10/12,2)</f>
        <v>958.33</v>
      </c>
      <c r="AH10" s="692">
        <f>ROUND(AE10+AF10-AG10,2)</f>
        <v>5750.02</v>
      </c>
      <c r="AI10" s="692"/>
      <c r="AJ10" s="692">
        <f t="shared" si="12"/>
        <v>958.33</v>
      </c>
      <c r="AK10" s="692">
        <f>ROUND(AH10+AI10-AJ10,2)</f>
        <v>4791.6899999999996</v>
      </c>
      <c r="AL10" s="692"/>
      <c r="AM10" s="692">
        <f t="shared" si="12"/>
        <v>958.33</v>
      </c>
      <c r="AN10" s="692">
        <f>ROUND(AK10+AL10-AM10,2)</f>
        <v>3833.36</v>
      </c>
      <c r="AO10" s="692"/>
      <c r="AP10" s="692">
        <f t="shared" si="12"/>
        <v>958.33</v>
      </c>
      <c r="AQ10" s="692">
        <f>ROUND(AN10+AO10-AP10,2)</f>
        <v>2875.03</v>
      </c>
      <c r="AR10" s="692"/>
      <c r="AS10" s="692">
        <f t="shared" si="12"/>
        <v>958.33</v>
      </c>
      <c r="AT10" s="692">
        <f>ROUND(AQ10+AR10-AS10,2)</f>
        <v>1916.7</v>
      </c>
      <c r="AU10" s="692"/>
      <c r="AV10" s="692">
        <f t="shared" si="12"/>
        <v>958.33</v>
      </c>
      <c r="AW10" s="692">
        <f>ROUND(AT10+AU10-AV10,2)</f>
        <v>958.37</v>
      </c>
      <c r="AX10" s="512"/>
      <c r="AY10" s="692">
        <f>ROUND($F$10/12,2)+0.04</f>
        <v>958.37</v>
      </c>
      <c r="AZ10" s="692">
        <f>ROUND(AW10+AX10-AY10,2)</f>
        <v>0</v>
      </c>
      <c r="BA10" s="692">
        <v>11500</v>
      </c>
      <c r="BB10" s="692">
        <f t="shared" ref="BB10:BE10" si="13">ROUND($F$10/12,2)</f>
        <v>958.33</v>
      </c>
      <c r="BC10" s="692">
        <f>ROUND(AZ10+BA10-BB10,2)</f>
        <v>10541.67</v>
      </c>
      <c r="BD10" s="692"/>
      <c r="BE10" s="692">
        <f t="shared" si="13"/>
        <v>958.33</v>
      </c>
      <c r="BF10" s="692">
        <f>ROUND(BC10+BD10-BE10,2)</f>
        <v>9583.34</v>
      </c>
    </row>
    <row r="11" spans="1:58" s="579" customFormat="1" x14ac:dyDescent="0.25">
      <c r="A11" s="514" t="s">
        <v>792</v>
      </c>
      <c r="B11" s="514" t="s">
        <v>1665</v>
      </c>
      <c r="C11" s="510">
        <v>45382</v>
      </c>
      <c r="D11" s="510">
        <v>45746</v>
      </c>
      <c r="E11" s="515">
        <v>7500</v>
      </c>
      <c r="F11" s="516">
        <v>7500</v>
      </c>
      <c r="G11" s="692">
        <v>1875</v>
      </c>
      <c r="H11" s="692"/>
      <c r="I11" s="692">
        <f>$F$11/12</f>
        <v>625</v>
      </c>
      <c r="J11" s="692">
        <f t="shared" ref="J11:J32" si="14">G11+H11-I11</f>
        <v>1250</v>
      </c>
      <c r="K11" s="692"/>
      <c r="L11" s="692">
        <f>$F$11/12</f>
        <v>625</v>
      </c>
      <c r="M11" s="692">
        <f t="shared" ref="M11:M32" si="15">J11+K11-L11</f>
        <v>625</v>
      </c>
      <c r="N11" s="692">
        <v>7500</v>
      </c>
      <c r="O11" s="692">
        <f>$F$11/12</f>
        <v>625</v>
      </c>
      <c r="P11" s="692">
        <f t="shared" ref="P11:P32" si="16">M11+N11-O11</f>
        <v>7500</v>
      </c>
      <c r="Q11" s="692"/>
      <c r="R11" s="692">
        <f>$F$11/12</f>
        <v>625</v>
      </c>
      <c r="S11" s="692">
        <f t="shared" ref="S11:S32" si="17">P11+Q11-R11</f>
        <v>6875</v>
      </c>
      <c r="T11" s="692"/>
      <c r="U11" s="692">
        <f>$F$11/12</f>
        <v>625</v>
      </c>
      <c r="V11" s="692">
        <f t="shared" ref="V11:V51" si="18">S11+T11-U11</f>
        <v>6250</v>
      </c>
      <c r="W11" s="692"/>
      <c r="X11" s="692">
        <f>$F$11/12</f>
        <v>625</v>
      </c>
      <c r="Y11" s="692">
        <f t="shared" ref="Y11:Y51" si="19">V11+W11-X11</f>
        <v>5625</v>
      </c>
      <c r="Z11" s="692"/>
      <c r="AA11" s="692">
        <f>$F$11/12</f>
        <v>625</v>
      </c>
      <c r="AB11" s="692">
        <f t="shared" ref="AB11:AB51" si="20">Y11+Z11-AA11</f>
        <v>5000</v>
      </c>
      <c r="AC11" s="692"/>
      <c r="AD11" s="692">
        <f>$F$11/12</f>
        <v>625</v>
      </c>
      <c r="AE11" s="692">
        <f t="shared" ref="AE11:AE51" si="21">AB11+AC11-AD11</f>
        <v>4375</v>
      </c>
      <c r="AF11" s="692"/>
      <c r="AG11" s="692">
        <f t="shared" ref="AG11:AY11" si="22">$F$11/12</f>
        <v>625</v>
      </c>
      <c r="AH11" s="692">
        <f t="shared" ref="AH11:AH51" si="23">AE11+AF11-AG11</f>
        <v>3750</v>
      </c>
      <c r="AI11" s="692"/>
      <c r="AJ11" s="692">
        <f t="shared" si="22"/>
        <v>625</v>
      </c>
      <c r="AK11" s="692">
        <f t="shared" ref="AK11:AK51" si="24">AH11+AI11-AJ11</f>
        <v>3125</v>
      </c>
      <c r="AL11" s="692"/>
      <c r="AM11" s="692">
        <f t="shared" si="22"/>
        <v>625</v>
      </c>
      <c r="AN11" s="692">
        <f t="shared" ref="AN11:AN51" si="25">AK11+AL11-AM11</f>
        <v>2500</v>
      </c>
      <c r="AO11" s="692"/>
      <c r="AP11" s="692">
        <f t="shared" si="22"/>
        <v>625</v>
      </c>
      <c r="AQ11" s="692">
        <f t="shared" ref="AQ11:AQ51" si="26">AN11+AO11-AP11</f>
        <v>1875</v>
      </c>
      <c r="AR11" s="692"/>
      <c r="AS11" s="692">
        <f t="shared" si="22"/>
        <v>625</v>
      </c>
      <c r="AT11" s="692">
        <f t="shared" ref="AT11:AT52" si="27">AQ11+AR11-AS11</f>
        <v>1250</v>
      </c>
      <c r="AU11" s="692"/>
      <c r="AV11" s="692">
        <f>$F$11/12</f>
        <v>625</v>
      </c>
      <c r="AW11" s="692">
        <f t="shared" ref="AW11:AW17" si="28">AT11+AU11-AV11</f>
        <v>625</v>
      </c>
      <c r="AX11" s="512">
        <v>7500</v>
      </c>
      <c r="AY11" s="692">
        <f t="shared" si="22"/>
        <v>625</v>
      </c>
      <c r="AZ11" s="692">
        <f t="shared" ref="AZ11:AZ17" si="29">AW11+AX11-AY11</f>
        <v>7500</v>
      </c>
      <c r="BA11" s="692"/>
      <c r="BB11" s="692">
        <f>$F$11/12</f>
        <v>625</v>
      </c>
      <c r="BC11" s="692">
        <f t="shared" ref="BC11:BC17" si="30">AZ11+BA11-BB11</f>
        <v>6875</v>
      </c>
      <c r="BD11" s="692"/>
      <c r="BE11" s="692">
        <f t="shared" ref="BE11" si="31">$F$11/12</f>
        <v>625</v>
      </c>
      <c r="BF11" s="692">
        <f t="shared" ref="BF11:BF17" si="32">BC11+BD11-BE11</f>
        <v>6250</v>
      </c>
    </row>
    <row r="12" spans="1:58" s="579" customFormat="1" x14ac:dyDescent="0.25">
      <c r="A12" s="514" t="s">
        <v>905</v>
      </c>
      <c r="B12" s="514" t="s">
        <v>1199</v>
      </c>
      <c r="C12" s="510">
        <v>45139</v>
      </c>
      <c r="D12" s="510">
        <v>45504</v>
      </c>
      <c r="E12" s="515">
        <v>15000</v>
      </c>
      <c r="F12" s="516">
        <v>11500</v>
      </c>
      <c r="G12" s="692">
        <v>6708.3466666666654</v>
      </c>
      <c r="H12" s="692"/>
      <c r="I12" s="692">
        <f>$F$12/12</f>
        <v>958.33333333333337</v>
      </c>
      <c r="J12" s="692">
        <f t="shared" si="14"/>
        <v>5750.0133333333324</v>
      </c>
      <c r="K12" s="692"/>
      <c r="L12" s="692">
        <f>$F$12/12</f>
        <v>958.33333333333337</v>
      </c>
      <c r="M12" s="692">
        <f t="shared" si="15"/>
        <v>4791.6799999999994</v>
      </c>
      <c r="N12" s="692"/>
      <c r="O12" s="692">
        <f>$F$12/12</f>
        <v>958.33333333333337</v>
      </c>
      <c r="P12" s="692">
        <f>M12+N12-O12</f>
        <v>3833.3466666666659</v>
      </c>
      <c r="Q12" s="692"/>
      <c r="R12" s="692">
        <f>$F$12/12</f>
        <v>958.33333333333337</v>
      </c>
      <c r="S12" s="692">
        <f t="shared" si="17"/>
        <v>2875.0133333333324</v>
      </c>
      <c r="T12" s="692"/>
      <c r="U12" s="692">
        <f>$F$12/12</f>
        <v>958.33333333333337</v>
      </c>
      <c r="V12" s="692">
        <f t="shared" si="18"/>
        <v>1916.6799999999989</v>
      </c>
      <c r="W12" s="692"/>
      <c r="X12" s="692">
        <f>$F$12/12</f>
        <v>958.33333333333337</v>
      </c>
      <c r="Y12" s="692">
        <f t="shared" si="19"/>
        <v>958.34666666666556</v>
      </c>
      <c r="Z12" s="692"/>
      <c r="AA12" s="692">
        <f>$F$12/12+0.01</f>
        <v>958.34333333333336</v>
      </c>
      <c r="AB12" s="692">
        <f t="shared" si="20"/>
        <v>3.3333333321934333E-3</v>
      </c>
      <c r="AC12" s="692">
        <v>11500</v>
      </c>
      <c r="AD12" s="692">
        <f>$F$12/12</f>
        <v>958.33333333333337</v>
      </c>
      <c r="AE12" s="692">
        <f t="shared" si="21"/>
        <v>10541.669999999998</v>
      </c>
      <c r="AF12" s="692"/>
      <c r="AG12" s="692">
        <f t="shared" ref="AG12:BE12" si="33">$F$12/12</f>
        <v>958.33333333333337</v>
      </c>
      <c r="AH12" s="692">
        <f t="shared" si="23"/>
        <v>9583.3366666666643</v>
      </c>
      <c r="AI12" s="692"/>
      <c r="AJ12" s="692">
        <f t="shared" si="33"/>
        <v>958.33333333333337</v>
      </c>
      <c r="AK12" s="692">
        <f t="shared" si="24"/>
        <v>8625.0033333333304</v>
      </c>
      <c r="AL12" s="692"/>
      <c r="AM12" s="692">
        <f t="shared" si="33"/>
        <v>958.33333333333337</v>
      </c>
      <c r="AN12" s="692">
        <f t="shared" si="25"/>
        <v>7666.6699999999973</v>
      </c>
      <c r="AO12" s="692"/>
      <c r="AP12" s="692">
        <f t="shared" si="33"/>
        <v>958.33333333333337</v>
      </c>
      <c r="AQ12" s="692">
        <f t="shared" si="26"/>
        <v>6708.3366666666643</v>
      </c>
      <c r="AR12" s="692"/>
      <c r="AS12" s="692">
        <f t="shared" si="33"/>
        <v>958.33333333333337</v>
      </c>
      <c r="AT12" s="692">
        <f t="shared" si="27"/>
        <v>5750.0033333333313</v>
      </c>
      <c r="AU12" s="692"/>
      <c r="AV12" s="692">
        <f t="shared" si="33"/>
        <v>958.33333333333337</v>
      </c>
      <c r="AW12" s="692">
        <f t="shared" si="28"/>
        <v>4791.6699999999983</v>
      </c>
      <c r="AX12" s="512"/>
      <c r="AY12" s="692">
        <f t="shared" si="33"/>
        <v>958.33333333333337</v>
      </c>
      <c r="AZ12" s="692">
        <f t="shared" si="29"/>
        <v>3833.3366666666648</v>
      </c>
      <c r="BA12" s="692"/>
      <c r="BB12" s="692">
        <f t="shared" si="33"/>
        <v>958.33333333333337</v>
      </c>
      <c r="BC12" s="692">
        <f t="shared" si="30"/>
        <v>2875.0033333333313</v>
      </c>
      <c r="BD12" s="692"/>
      <c r="BE12" s="692">
        <f t="shared" si="33"/>
        <v>958.33333333333337</v>
      </c>
      <c r="BF12" s="692">
        <f t="shared" si="32"/>
        <v>1916.6699999999978</v>
      </c>
    </row>
    <row r="13" spans="1:58" s="579" customFormat="1" x14ac:dyDescent="0.25">
      <c r="A13" s="227" t="s">
        <v>673</v>
      </c>
      <c r="B13" s="227" t="s">
        <v>928</v>
      </c>
      <c r="C13" s="689">
        <v>44774</v>
      </c>
      <c r="D13" s="689">
        <v>45138</v>
      </c>
      <c r="E13" s="690">
        <v>21360</v>
      </c>
      <c r="F13" s="691">
        <v>7500</v>
      </c>
      <c r="G13" s="692">
        <v>4375</v>
      </c>
      <c r="H13" s="692"/>
      <c r="I13" s="692">
        <f>$F$13/12</f>
        <v>625</v>
      </c>
      <c r="J13" s="692">
        <f t="shared" si="14"/>
        <v>3750</v>
      </c>
      <c r="K13" s="692"/>
      <c r="L13" s="692">
        <f>$F$13/12</f>
        <v>625</v>
      </c>
      <c r="M13" s="692">
        <f t="shared" si="15"/>
        <v>3125</v>
      </c>
      <c r="N13" s="692"/>
      <c r="O13" s="692">
        <f>$F$13/12</f>
        <v>625</v>
      </c>
      <c r="P13" s="692">
        <f t="shared" si="16"/>
        <v>2500</v>
      </c>
      <c r="Q13" s="692"/>
      <c r="R13" s="692">
        <f>$F$13/12</f>
        <v>625</v>
      </c>
      <c r="S13" s="692">
        <f t="shared" si="17"/>
        <v>1875</v>
      </c>
      <c r="T13" s="692"/>
      <c r="U13" s="692">
        <f>$F$13/12</f>
        <v>625</v>
      </c>
      <c r="V13" s="692">
        <f t="shared" si="18"/>
        <v>1250</v>
      </c>
      <c r="W13" s="692"/>
      <c r="X13" s="692">
        <f>$F$13/12</f>
        <v>625</v>
      </c>
      <c r="Y13" s="692">
        <f t="shared" si="19"/>
        <v>625</v>
      </c>
      <c r="Z13" s="692"/>
      <c r="AA13" s="692">
        <f>$F$13/12</f>
        <v>625</v>
      </c>
      <c r="AB13" s="692">
        <f t="shared" si="20"/>
        <v>0</v>
      </c>
      <c r="AC13" s="692"/>
      <c r="AD13" s="696"/>
      <c r="AE13" s="692">
        <f t="shared" si="21"/>
        <v>0</v>
      </c>
      <c r="AF13" s="692"/>
      <c r="AG13" s="696"/>
      <c r="AH13" s="692">
        <f t="shared" si="23"/>
        <v>0</v>
      </c>
      <c r="AI13" s="692"/>
      <c r="AJ13" s="696"/>
      <c r="AK13" s="692">
        <f t="shared" si="24"/>
        <v>0</v>
      </c>
      <c r="AL13" s="692"/>
      <c r="AM13" s="696"/>
      <c r="AN13" s="692">
        <f t="shared" si="25"/>
        <v>0</v>
      </c>
      <c r="AO13" s="692"/>
      <c r="AP13" s="696"/>
      <c r="AQ13" s="692">
        <f t="shared" si="26"/>
        <v>0</v>
      </c>
      <c r="AR13" s="692"/>
      <c r="AS13" s="696"/>
      <c r="AT13" s="692">
        <f t="shared" si="27"/>
        <v>0</v>
      </c>
      <c r="AU13" s="692"/>
      <c r="AV13" s="696"/>
      <c r="AW13" s="692">
        <f t="shared" si="28"/>
        <v>0</v>
      </c>
      <c r="AX13" s="512"/>
      <c r="AY13" s="696"/>
      <c r="AZ13" s="692">
        <f t="shared" si="29"/>
        <v>0</v>
      </c>
      <c r="BA13" s="692"/>
      <c r="BB13" s="696"/>
      <c r="BC13" s="692">
        <f t="shared" si="30"/>
        <v>0</v>
      </c>
      <c r="BD13" s="692"/>
      <c r="BE13" s="696"/>
      <c r="BF13" s="692">
        <f t="shared" si="32"/>
        <v>0</v>
      </c>
    </row>
    <row r="14" spans="1:58" s="579" customFormat="1" ht="15" customHeight="1" x14ac:dyDescent="0.25">
      <c r="A14" s="227" t="s">
        <v>151</v>
      </c>
      <c r="B14" s="227" t="s">
        <v>1200</v>
      </c>
      <c r="C14" s="510">
        <v>45170</v>
      </c>
      <c r="D14" s="510">
        <v>45535</v>
      </c>
      <c r="E14" s="690">
        <v>7500</v>
      </c>
      <c r="F14" s="691">
        <v>7500</v>
      </c>
      <c r="G14" s="692">
        <v>5000</v>
      </c>
      <c r="H14" s="692"/>
      <c r="I14" s="692">
        <f>$F$14/12</f>
        <v>625</v>
      </c>
      <c r="J14" s="692">
        <f t="shared" si="14"/>
        <v>4375</v>
      </c>
      <c r="K14" s="692"/>
      <c r="L14" s="692">
        <f>$F$14/12</f>
        <v>625</v>
      </c>
      <c r="M14" s="692">
        <f t="shared" si="15"/>
        <v>3750</v>
      </c>
      <c r="N14" s="692"/>
      <c r="O14" s="692">
        <f>$F$14/12</f>
        <v>625</v>
      </c>
      <c r="P14" s="692">
        <f t="shared" si="16"/>
        <v>3125</v>
      </c>
      <c r="Q14" s="692"/>
      <c r="R14" s="692">
        <f>$F$14/12</f>
        <v>625</v>
      </c>
      <c r="S14" s="692">
        <f t="shared" si="17"/>
        <v>2500</v>
      </c>
      <c r="T14" s="692"/>
      <c r="U14" s="692">
        <f>$F$14/12</f>
        <v>625</v>
      </c>
      <c r="V14" s="692">
        <f t="shared" si="18"/>
        <v>1875</v>
      </c>
      <c r="W14" s="692"/>
      <c r="X14" s="692">
        <f>$F$14/12</f>
        <v>625</v>
      </c>
      <c r="Y14" s="692">
        <f t="shared" si="19"/>
        <v>1250</v>
      </c>
      <c r="Z14" s="692"/>
      <c r="AA14" s="692">
        <f>$F$14/12</f>
        <v>625</v>
      </c>
      <c r="AB14" s="692">
        <f t="shared" si="20"/>
        <v>625</v>
      </c>
      <c r="AC14" s="692"/>
      <c r="AD14" s="692">
        <f>$F$14/12</f>
        <v>625</v>
      </c>
      <c r="AE14" s="692">
        <f t="shared" si="21"/>
        <v>0</v>
      </c>
      <c r="AF14" s="692">
        <v>7500</v>
      </c>
      <c r="AG14" s="692">
        <f>$F$14/12</f>
        <v>625</v>
      </c>
      <c r="AH14" s="692">
        <f t="shared" si="23"/>
        <v>6875</v>
      </c>
      <c r="AI14" s="692"/>
      <c r="AJ14" s="692">
        <f t="shared" ref="AJ14:BE14" si="34">$F$14/12</f>
        <v>625</v>
      </c>
      <c r="AK14" s="692">
        <f t="shared" si="24"/>
        <v>6250</v>
      </c>
      <c r="AL14" s="692"/>
      <c r="AM14" s="692">
        <f t="shared" si="34"/>
        <v>625</v>
      </c>
      <c r="AN14" s="692">
        <f t="shared" si="25"/>
        <v>5625</v>
      </c>
      <c r="AO14" s="692"/>
      <c r="AP14" s="692">
        <f t="shared" si="34"/>
        <v>625</v>
      </c>
      <c r="AQ14" s="692">
        <f t="shared" si="26"/>
        <v>5000</v>
      </c>
      <c r="AR14" s="692"/>
      <c r="AS14" s="692">
        <f t="shared" si="34"/>
        <v>625</v>
      </c>
      <c r="AT14" s="692">
        <f t="shared" si="27"/>
        <v>4375</v>
      </c>
      <c r="AU14" s="692"/>
      <c r="AV14" s="692">
        <f t="shared" si="34"/>
        <v>625</v>
      </c>
      <c r="AW14" s="692">
        <f t="shared" si="28"/>
        <v>3750</v>
      </c>
      <c r="AX14" s="512"/>
      <c r="AY14" s="692">
        <f t="shared" si="34"/>
        <v>625</v>
      </c>
      <c r="AZ14" s="692">
        <f t="shared" si="29"/>
        <v>3125</v>
      </c>
      <c r="BA14" s="692"/>
      <c r="BB14" s="692">
        <f t="shared" si="34"/>
        <v>625</v>
      </c>
      <c r="BC14" s="692">
        <f t="shared" si="30"/>
        <v>2500</v>
      </c>
      <c r="BD14" s="692"/>
      <c r="BE14" s="692">
        <f t="shared" si="34"/>
        <v>625</v>
      </c>
      <c r="BF14" s="692">
        <f t="shared" si="32"/>
        <v>1875</v>
      </c>
    </row>
    <row r="15" spans="1:58" s="579" customFormat="1" x14ac:dyDescent="0.25">
      <c r="A15" s="227" t="s">
        <v>152</v>
      </c>
      <c r="B15" s="227" t="s">
        <v>1201</v>
      </c>
      <c r="C15" s="689">
        <v>45170</v>
      </c>
      <c r="D15" s="689">
        <v>45535</v>
      </c>
      <c r="E15" s="690">
        <v>7500</v>
      </c>
      <c r="F15" s="691">
        <v>7500</v>
      </c>
      <c r="G15" s="692">
        <v>5000</v>
      </c>
      <c r="H15" s="692"/>
      <c r="I15" s="692">
        <f>$F$15/12</f>
        <v>625</v>
      </c>
      <c r="J15" s="692">
        <f t="shared" si="14"/>
        <v>4375</v>
      </c>
      <c r="K15" s="692"/>
      <c r="L15" s="692">
        <f>$F$15/12</f>
        <v>625</v>
      </c>
      <c r="M15" s="692">
        <f t="shared" si="15"/>
        <v>3750</v>
      </c>
      <c r="N15" s="692"/>
      <c r="O15" s="692">
        <f>$F$15/12</f>
        <v>625</v>
      </c>
      <c r="P15" s="692">
        <f t="shared" si="16"/>
        <v>3125</v>
      </c>
      <c r="Q15" s="692"/>
      <c r="R15" s="692">
        <f>$F$15/12</f>
        <v>625</v>
      </c>
      <c r="S15" s="692">
        <f t="shared" si="17"/>
        <v>2500</v>
      </c>
      <c r="T15" s="692"/>
      <c r="U15" s="692">
        <f>$F$15/12</f>
        <v>625</v>
      </c>
      <c r="V15" s="692">
        <f t="shared" si="18"/>
        <v>1875</v>
      </c>
      <c r="W15" s="692"/>
      <c r="X15" s="692">
        <f>$F$15/12</f>
        <v>625</v>
      </c>
      <c r="Y15" s="692">
        <f t="shared" si="19"/>
        <v>1250</v>
      </c>
      <c r="Z15" s="692"/>
      <c r="AA15" s="692">
        <f>$F$15/12</f>
        <v>625</v>
      </c>
      <c r="AB15" s="692">
        <f t="shared" si="20"/>
        <v>625</v>
      </c>
      <c r="AC15" s="692"/>
      <c r="AD15" s="692">
        <f>$F$15/12</f>
        <v>625</v>
      </c>
      <c r="AE15" s="692">
        <f t="shared" si="21"/>
        <v>0</v>
      </c>
      <c r="AF15" s="692">
        <v>7500</v>
      </c>
      <c r="AG15" s="692">
        <f>$F$15/12</f>
        <v>625</v>
      </c>
      <c r="AH15" s="692">
        <f t="shared" si="23"/>
        <v>6875</v>
      </c>
      <c r="AI15" s="692"/>
      <c r="AJ15" s="692">
        <f t="shared" ref="AJ15:BE15" si="35">$F$15/12</f>
        <v>625</v>
      </c>
      <c r="AK15" s="692">
        <f t="shared" si="24"/>
        <v>6250</v>
      </c>
      <c r="AL15" s="692"/>
      <c r="AM15" s="692">
        <f t="shared" si="35"/>
        <v>625</v>
      </c>
      <c r="AN15" s="692">
        <f t="shared" si="25"/>
        <v>5625</v>
      </c>
      <c r="AO15" s="692"/>
      <c r="AP15" s="692">
        <f t="shared" si="35"/>
        <v>625</v>
      </c>
      <c r="AQ15" s="692">
        <f t="shared" si="26"/>
        <v>5000</v>
      </c>
      <c r="AR15" s="692"/>
      <c r="AS15" s="692">
        <f t="shared" si="35"/>
        <v>625</v>
      </c>
      <c r="AT15" s="692">
        <f t="shared" si="27"/>
        <v>4375</v>
      </c>
      <c r="AU15" s="692"/>
      <c r="AV15" s="692">
        <f t="shared" si="35"/>
        <v>625</v>
      </c>
      <c r="AW15" s="692">
        <f t="shared" si="28"/>
        <v>3750</v>
      </c>
      <c r="AX15" s="512"/>
      <c r="AY15" s="692">
        <f t="shared" si="35"/>
        <v>625</v>
      </c>
      <c r="AZ15" s="692">
        <f t="shared" si="29"/>
        <v>3125</v>
      </c>
      <c r="BA15" s="692"/>
      <c r="BB15" s="692">
        <f t="shared" si="35"/>
        <v>625</v>
      </c>
      <c r="BC15" s="692">
        <f t="shared" si="30"/>
        <v>2500</v>
      </c>
      <c r="BD15" s="692"/>
      <c r="BE15" s="692">
        <f t="shared" si="35"/>
        <v>625</v>
      </c>
      <c r="BF15" s="692">
        <f t="shared" si="32"/>
        <v>1875</v>
      </c>
    </row>
    <row r="16" spans="1:58" s="579" customFormat="1" x14ac:dyDescent="0.25">
      <c r="A16" s="227" t="s">
        <v>736</v>
      </c>
      <c r="B16" s="227" t="s">
        <v>1346</v>
      </c>
      <c r="C16" s="689">
        <v>45261</v>
      </c>
      <c r="D16" s="689">
        <v>45626</v>
      </c>
      <c r="E16" s="690">
        <v>15000</v>
      </c>
      <c r="F16" s="691">
        <v>11500</v>
      </c>
      <c r="G16" s="692">
        <v>6875</v>
      </c>
      <c r="H16" s="692"/>
      <c r="I16" s="692">
        <v>625</v>
      </c>
      <c r="J16" s="692">
        <f>G16+H16-I16</f>
        <v>6250</v>
      </c>
      <c r="K16" s="692"/>
      <c r="L16" s="692">
        <v>625</v>
      </c>
      <c r="M16" s="692">
        <f t="shared" si="15"/>
        <v>5625</v>
      </c>
      <c r="N16" s="692"/>
      <c r="O16" s="692">
        <v>625</v>
      </c>
      <c r="P16" s="692">
        <f t="shared" si="16"/>
        <v>5000</v>
      </c>
      <c r="Q16" s="692"/>
      <c r="R16" s="692">
        <v>625</v>
      </c>
      <c r="S16" s="692">
        <f t="shared" si="17"/>
        <v>4375</v>
      </c>
      <c r="T16" s="692"/>
      <c r="U16" s="692">
        <v>625</v>
      </c>
      <c r="V16" s="692">
        <f>S16+T16-U16</f>
        <v>3750</v>
      </c>
      <c r="W16" s="692"/>
      <c r="X16" s="692">
        <v>625</v>
      </c>
      <c r="Y16" s="692">
        <f t="shared" si="19"/>
        <v>3125</v>
      </c>
      <c r="Z16" s="692"/>
      <c r="AA16" s="692">
        <v>625</v>
      </c>
      <c r="AB16" s="692">
        <f t="shared" si="20"/>
        <v>2500</v>
      </c>
      <c r="AC16" s="692"/>
      <c r="AD16" s="692">
        <v>625</v>
      </c>
      <c r="AE16" s="692">
        <f t="shared" si="21"/>
        <v>1875</v>
      </c>
      <c r="AF16" s="692"/>
      <c r="AG16" s="692">
        <v>625</v>
      </c>
      <c r="AH16" s="692">
        <f t="shared" si="23"/>
        <v>1250</v>
      </c>
      <c r="AI16" s="692"/>
      <c r="AJ16" s="692">
        <v>625</v>
      </c>
      <c r="AK16" s="692">
        <f t="shared" si="24"/>
        <v>625</v>
      </c>
      <c r="AL16" s="692"/>
      <c r="AM16" s="692">
        <v>625</v>
      </c>
      <c r="AN16" s="692">
        <f t="shared" si="25"/>
        <v>0</v>
      </c>
      <c r="AO16" s="517">
        <v>11500</v>
      </c>
      <c r="AP16" s="696">
        <f>ROUND(11500/12,2)</f>
        <v>958.33</v>
      </c>
      <c r="AQ16" s="692">
        <f t="shared" si="26"/>
        <v>10541.67</v>
      </c>
      <c r="AR16" s="692"/>
      <c r="AS16" s="696">
        <f t="shared" ref="AS16:BE16" si="36">ROUND(11500/12,2)</f>
        <v>958.33</v>
      </c>
      <c r="AT16" s="692">
        <f t="shared" si="27"/>
        <v>9583.34</v>
      </c>
      <c r="AU16" s="692"/>
      <c r="AV16" s="696">
        <f t="shared" si="36"/>
        <v>958.33</v>
      </c>
      <c r="AW16" s="692">
        <f t="shared" si="28"/>
        <v>8625.01</v>
      </c>
      <c r="AX16" s="512"/>
      <c r="AY16" s="696">
        <f t="shared" si="36"/>
        <v>958.33</v>
      </c>
      <c r="AZ16" s="692">
        <f t="shared" si="29"/>
        <v>7666.68</v>
      </c>
      <c r="BA16" s="692"/>
      <c r="BB16" s="696">
        <f t="shared" si="36"/>
        <v>958.33</v>
      </c>
      <c r="BC16" s="692">
        <f t="shared" si="30"/>
        <v>6708.35</v>
      </c>
      <c r="BD16" s="692"/>
      <c r="BE16" s="696">
        <f t="shared" si="36"/>
        <v>958.33</v>
      </c>
      <c r="BF16" s="692">
        <f t="shared" si="32"/>
        <v>5750.02</v>
      </c>
    </row>
    <row r="17" spans="1:58" s="579" customFormat="1" x14ac:dyDescent="0.25">
      <c r="A17" s="227" t="s">
        <v>154</v>
      </c>
      <c r="B17" s="227" t="s">
        <v>937</v>
      </c>
      <c r="C17" s="510">
        <v>44774</v>
      </c>
      <c r="D17" s="510">
        <v>45138</v>
      </c>
      <c r="E17" s="690">
        <v>11000</v>
      </c>
      <c r="F17" s="691">
        <v>7500</v>
      </c>
      <c r="G17" s="692">
        <v>4375</v>
      </c>
      <c r="H17" s="692"/>
      <c r="I17" s="692">
        <f>$F$17/12</f>
        <v>625</v>
      </c>
      <c r="J17" s="692">
        <f t="shared" si="14"/>
        <v>3750</v>
      </c>
      <c r="K17" s="692"/>
      <c r="L17" s="692">
        <f>$F$17/12</f>
        <v>625</v>
      </c>
      <c r="M17" s="692">
        <f t="shared" si="15"/>
        <v>3125</v>
      </c>
      <c r="N17" s="692"/>
      <c r="O17" s="692">
        <f>$F$17/12</f>
        <v>625</v>
      </c>
      <c r="P17" s="692">
        <f t="shared" si="16"/>
        <v>2500</v>
      </c>
      <c r="Q17" s="692"/>
      <c r="R17" s="692">
        <f>$F$17/12</f>
        <v>625</v>
      </c>
      <c r="S17" s="692">
        <f t="shared" si="17"/>
        <v>1875</v>
      </c>
      <c r="T17" s="692"/>
      <c r="U17" s="692">
        <f>$F$17/12</f>
        <v>625</v>
      </c>
      <c r="V17" s="692">
        <f t="shared" si="18"/>
        <v>1250</v>
      </c>
      <c r="W17" s="692"/>
      <c r="X17" s="692">
        <f>$F$17/12</f>
        <v>625</v>
      </c>
      <c r="Y17" s="692">
        <f t="shared" si="19"/>
        <v>625</v>
      </c>
      <c r="Z17" s="692"/>
      <c r="AA17" s="692">
        <f>$F$17/12</f>
        <v>625</v>
      </c>
      <c r="AB17" s="692">
        <f t="shared" si="20"/>
        <v>0</v>
      </c>
      <c r="AC17" s="692"/>
      <c r="AD17" s="696"/>
      <c r="AE17" s="692">
        <f t="shared" si="21"/>
        <v>0</v>
      </c>
      <c r="AF17" s="692"/>
      <c r="AG17" s="696"/>
      <c r="AH17" s="692">
        <f t="shared" si="23"/>
        <v>0</v>
      </c>
      <c r="AI17" s="692"/>
      <c r="AJ17" s="696"/>
      <c r="AK17" s="692">
        <f t="shared" si="24"/>
        <v>0</v>
      </c>
      <c r="AL17" s="692"/>
      <c r="AM17" s="696"/>
      <c r="AN17" s="692">
        <f t="shared" si="25"/>
        <v>0</v>
      </c>
      <c r="AO17" s="692"/>
      <c r="AP17" s="696"/>
      <c r="AQ17" s="692">
        <f t="shared" si="26"/>
        <v>0</v>
      </c>
      <c r="AR17" s="692"/>
      <c r="AS17" s="696"/>
      <c r="AT17" s="692">
        <f t="shared" si="27"/>
        <v>0</v>
      </c>
      <c r="AU17" s="692"/>
      <c r="AV17" s="696"/>
      <c r="AW17" s="692">
        <f t="shared" si="28"/>
        <v>0</v>
      </c>
      <c r="AX17" s="512"/>
      <c r="AY17" s="696"/>
      <c r="AZ17" s="692">
        <f t="shared" si="29"/>
        <v>0</v>
      </c>
      <c r="BA17" s="692"/>
      <c r="BB17" s="696"/>
      <c r="BC17" s="692">
        <f t="shared" si="30"/>
        <v>0</v>
      </c>
      <c r="BD17" s="692"/>
      <c r="BE17" s="696"/>
      <c r="BF17" s="692">
        <f t="shared" si="32"/>
        <v>0</v>
      </c>
    </row>
    <row r="18" spans="1:58" s="579" customFormat="1" x14ac:dyDescent="0.25">
      <c r="A18" s="227" t="s">
        <v>1238</v>
      </c>
      <c r="B18" s="227" t="s">
        <v>1239</v>
      </c>
      <c r="C18" s="510">
        <v>45139</v>
      </c>
      <c r="D18" s="510">
        <v>45504</v>
      </c>
      <c r="E18" s="690">
        <v>7500</v>
      </c>
      <c r="F18" s="691">
        <v>7500</v>
      </c>
      <c r="G18" s="692"/>
      <c r="H18" s="692"/>
      <c r="I18" s="692"/>
      <c r="J18" s="692"/>
      <c r="K18" s="692"/>
      <c r="L18" s="692"/>
      <c r="M18" s="692"/>
      <c r="N18" s="692"/>
      <c r="O18" s="692"/>
      <c r="P18" s="692"/>
      <c r="Q18" s="692"/>
      <c r="R18" s="692"/>
      <c r="S18" s="692"/>
      <c r="T18" s="692"/>
      <c r="U18" s="692"/>
      <c r="V18" s="692"/>
      <c r="W18" s="692"/>
      <c r="X18" s="692"/>
      <c r="Y18" s="692"/>
      <c r="Z18" s="692"/>
      <c r="AA18" s="692"/>
      <c r="AB18" s="692"/>
      <c r="AC18" s="692">
        <v>7500</v>
      </c>
      <c r="AD18" s="692">
        <f>ROUND($F$18/12,2)</f>
        <v>625</v>
      </c>
      <c r="AE18" s="692">
        <f>AB18+AC18-AD18</f>
        <v>6875</v>
      </c>
      <c r="AF18" s="692"/>
      <c r="AG18" s="692">
        <f>ROUND($F$18/12,2)</f>
        <v>625</v>
      </c>
      <c r="AH18" s="692">
        <f>AE18+AF18-AG18</f>
        <v>6250</v>
      </c>
      <c r="AI18" s="692"/>
      <c r="AJ18" s="692">
        <f t="shared" ref="AJ18:BE18" si="37">ROUND($F$18/12,2)</f>
        <v>625</v>
      </c>
      <c r="AK18" s="692">
        <f>AH18+AI18-AJ18</f>
        <v>5625</v>
      </c>
      <c r="AL18" s="692"/>
      <c r="AM18" s="692">
        <f t="shared" si="37"/>
        <v>625</v>
      </c>
      <c r="AN18" s="692">
        <f>AK18+AL18-AM18</f>
        <v>5000</v>
      </c>
      <c r="AO18" s="692"/>
      <c r="AP18" s="692">
        <f t="shared" si="37"/>
        <v>625</v>
      </c>
      <c r="AQ18" s="692">
        <f>AN18+AO18-AP18</f>
        <v>4375</v>
      </c>
      <c r="AR18" s="692"/>
      <c r="AS18" s="692">
        <f t="shared" si="37"/>
        <v>625</v>
      </c>
      <c r="AT18" s="692">
        <f>AQ18+AR18-AS18</f>
        <v>3750</v>
      </c>
      <c r="AU18" s="692"/>
      <c r="AV18" s="692">
        <f t="shared" si="37"/>
        <v>625</v>
      </c>
      <c r="AW18" s="692">
        <f>AT18+AU18-AV18</f>
        <v>3125</v>
      </c>
      <c r="AX18" s="512"/>
      <c r="AY18" s="692">
        <f t="shared" si="37"/>
        <v>625</v>
      </c>
      <c r="AZ18" s="692">
        <f>AW18+AX18-AY18</f>
        <v>2500</v>
      </c>
      <c r="BA18" s="692"/>
      <c r="BB18" s="692">
        <f t="shared" si="37"/>
        <v>625</v>
      </c>
      <c r="BC18" s="692">
        <f>AZ18+BA18-BB18</f>
        <v>1875</v>
      </c>
      <c r="BD18" s="692"/>
      <c r="BE18" s="692">
        <f t="shared" si="37"/>
        <v>625</v>
      </c>
      <c r="BF18" s="692">
        <f>BC18+BD18-BE18</f>
        <v>1250</v>
      </c>
    </row>
    <row r="19" spans="1:58" s="579" customFormat="1" x14ac:dyDescent="0.25">
      <c r="A19" s="227" t="s">
        <v>156</v>
      </c>
      <c r="B19" s="227" t="s">
        <v>1529</v>
      </c>
      <c r="C19" s="689">
        <v>45323</v>
      </c>
      <c r="D19" s="689">
        <v>45688</v>
      </c>
      <c r="E19" s="690">
        <v>9500</v>
      </c>
      <c r="F19" s="691">
        <v>7500</v>
      </c>
      <c r="G19" s="692">
        <v>625</v>
      </c>
      <c r="H19" s="692"/>
      <c r="I19" s="692">
        <v>625</v>
      </c>
      <c r="J19" s="692">
        <f t="shared" si="14"/>
        <v>0</v>
      </c>
      <c r="K19" s="692">
        <v>7500</v>
      </c>
      <c r="L19" s="692">
        <v>625</v>
      </c>
      <c r="M19" s="692">
        <f t="shared" si="15"/>
        <v>6875</v>
      </c>
      <c r="N19" s="696"/>
      <c r="O19" s="692">
        <v>625</v>
      </c>
      <c r="P19" s="692">
        <f t="shared" si="16"/>
        <v>6250</v>
      </c>
      <c r="Q19" s="692"/>
      <c r="R19" s="692">
        <v>625</v>
      </c>
      <c r="S19" s="692">
        <f t="shared" si="17"/>
        <v>5625</v>
      </c>
      <c r="T19" s="692"/>
      <c r="U19" s="692">
        <v>625</v>
      </c>
      <c r="V19" s="692">
        <f t="shared" si="18"/>
        <v>5000</v>
      </c>
      <c r="W19" s="692"/>
      <c r="X19" s="692">
        <v>625</v>
      </c>
      <c r="Y19" s="692">
        <f t="shared" si="19"/>
        <v>4375</v>
      </c>
      <c r="Z19" s="692"/>
      <c r="AA19" s="692">
        <v>625</v>
      </c>
      <c r="AB19" s="692">
        <f t="shared" si="20"/>
        <v>3750</v>
      </c>
      <c r="AC19" s="692"/>
      <c r="AD19" s="692">
        <v>625</v>
      </c>
      <c r="AE19" s="692">
        <f t="shared" si="21"/>
        <v>3125</v>
      </c>
      <c r="AF19" s="692"/>
      <c r="AG19" s="692">
        <v>625</v>
      </c>
      <c r="AH19" s="692">
        <f t="shared" si="23"/>
        <v>2500</v>
      </c>
      <c r="AI19" s="692"/>
      <c r="AJ19" s="692">
        <v>625</v>
      </c>
      <c r="AK19" s="692">
        <f t="shared" si="24"/>
        <v>1875</v>
      </c>
      <c r="AL19" s="692"/>
      <c r="AM19" s="692">
        <v>625</v>
      </c>
      <c r="AN19" s="692">
        <f t="shared" si="25"/>
        <v>1250</v>
      </c>
      <c r="AO19" s="692"/>
      <c r="AP19" s="692">
        <v>625</v>
      </c>
      <c r="AQ19" s="692">
        <f t="shared" si="26"/>
        <v>625</v>
      </c>
      <c r="AR19" s="692"/>
      <c r="AS19" s="692">
        <v>625</v>
      </c>
      <c r="AT19" s="692">
        <f t="shared" si="27"/>
        <v>0</v>
      </c>
      <c r="AU19" s="692">
        <f>9500-2000</f>
        <v>7500</v>
      </c>
      <c r="AV19" s="692">
        <f>$F$19/12</f>
        <v>625</v>
      </c>
      <c r="AW19" s="692">
        <f t="shared" ref="AW19:AW25" si="38">AT19+AU19-AV19</f>
        <v>6875</v>
      </c>
      <c r="AX19" s="512"/>
      <c r="AY19" s="692">
        <f>$F$19/12</f>
        <v>625</v>
      </c>
      <c r="AZ19" s="692">
        <f t="shared" ref="AZ19:AZ25" si="39">AW19+AX19-AY19</f>
        <v>6250</v>
      </c>
      <c r="BA19" s="692"/>
      <c r="BB19" s="692">
        <f t="shared" ref="BB19:BE19" si="40">$F$19/12</f>
        <v>625</v>
      </c>
      <c r="BC19" s="692">
        <f t="shared" ref="BC19:BC25" si="41">AZ19+BA19-BB19</f>
        <v>5625</v>
      </c>
      <c r="BD19" s="692"/>
      <c r="BE19" s="692">
        <f t="shared" si="40"/>
        <v>625</v>
      </c>
      <c r="BF19" s="692">
        <f t="shared" ref="BF19:BF25" si="42">BC19+BD19-BE19</f>
        <v>5000</v>
      </c>
    </row>
    <row r="20" spans="1:58" s="579" customFormat="1" x14ac:dyDescent="0.25">
      <c r="A20" s="227" t="s">
        <v>1452</v>
      </c>
      <c r="B20" s="227" t="s">
        <v>1492</v>
      </c>
      <c r="C20" s="689">
        <v>45352</v>
      </c>
      <c r="D20" s="689">
        <v>45350</v>
      </c>
      <c r="E20" s="690">
        <v>7500</v>
      </c>
      <c r="F20" s="691">
        <v>7500</v>
      </c>
      <c r="G20" s="692"/>
      <c r="H20" s="692"/>
      <c r="I20" s="692"/>
      <c r="J20" s="692"/>
      <c r="K20" s="692"/>
      <c r="L20" s="692"/>
      <c r="M20" s="692"/>
      <c r="N20" s="696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2"/>
      <c r="AC20" s="692"/>
      <c r="AD20" s="692"/>
      <c r="AE20" s="692"/>
      <c r="AF20" s="692"/>
      <c r="AG20" s="692"/>
      <c r="AH20" s="692"/>
      <c r="AI20" s="692"/>
      <c r="AJ20" s="692"/>
      <c r="AK20" s="692"/>
      <c r="AL20" s="692"/>
      <c r="AM20" s="692"/>
      <c r="AN20" s="692"/>
      <c r="AO20" s="692"/>
      <c r="AP20" s="692"/>
      <c r="AQ20" s="692"/>
      <c r="AR20" s="692"/>
      <c r="AS20" s="692"/>
      <c r="AT20" s="692">
        <f t="shared" si="27"/>
        <v>0</v>
      </c>
      <c r="AU20" s="692"/>
      <c r="AV20" s="692"/>
      <c r="AW20" s="692">
        <f t="shared" si="38"/>
        <v>0</v>
      </c>
      <c r="AX20" s="512">
        <v>7500</v>
      </c>
      <c r="AY20" s="692">
        <f>$F$20/12</f>
        <v>625</v>
      </c>
      <c r="AZ20" s="692">
        <f t="shared" si="39"/>
        <v>6875</v>
      </c>
      <c r="BA20" s="692"/>
      <c r="BB20" s="692">
        <f t="shared" ref="BB20:BE20" si="43">$F$20/12</f>
        <v>625</v>
      </c>
      <c r="BC20" s="692">
        <f t="shared" si="41"/>
        <v>6250</v>
      </c>
      <c r="BD20" s="692"/>
      <c r="BE20" s="692">
        <f t="shared" si="43"/>
        <v>625</v>
      </c>
      <c r="BF20" s="692">
        <f t="shared" si="42"/>
        <v>5625</v>
      </c>
    </row>
    <row r="21" spans="1:58" s="579" customFormat="1" x14ac:dyDescent="0.25">
      <c r="A21" s="514" t="s">
        <v>912</v>
      </c>
      <c r="B21" s="227" t="s">
        <v>1152</v>
      </c>
      <c r="C21" s="689">
        <v>45139</v>
      </c>
      <c r="D21" s="689">
        <v>45504</v>
      </c>
      <c r="E21" s="690">
        <v>7500</v>
      </c>
      <c r="F21" s="691">
        <v>7500</v>
      </c>
      <c r="G21" s="692">
        <v>4375</v>
      </c>
      <c r="H21" s="692"/>
      <c r="I21" s="692">
        <f>$F$21/12</f>
        <v>625</v>
      </c>
      <c r="J21" s="692">
        <f t="shared" si="14"/>
        <v>3750</v>
      </c>
      <c r="K21" s="692"/>
      <c r="L21" s="692">
        <f>$F$21/12</f>
        <v>625</v>
      </c>
      <c r="M21" s="692">
        <f t="shared" si="15"/>
        <v>3125</v>
      </c>
      <c r="N21" s="692"/>
      <c r="O21" s="692">
        <f>$F$21/12</f>
        <v>625</v>
      </c>
      <c r="P21" s="692">
        <f t="shared" si="16"/>
        <v>2500</v>
      </c>
      <c r="Q21" s="692"/>
      <c r="R21" s="692">
        <f>$F$21/12</f>
        <v>625</v>
      </c>
      <c r="S21" s="692">
        <f t="shared" si="17"/>
        <v>1875</v>
      </c>
      <c r="T21" s="692"/>
      <c r="U21" s="692">
        <f>$F$21/12</f>
        <v>625</v>
      </c>
      <c r="V21" s="692">
        <f t="shared" si="18"/>
        <v>1250</v>
      </c>
      <c r="W21" s="692"/>
      <c r="X21" s="692">
        <f>$F$21/12</f>
        <v>625</v>
      </c>
      <c r="Y21" s="692">
        <f t="shared" si="19"/>
        <v>625</v>
      </c>
      <c r="Z21" s="692"/>
      <c r="AA21" s="692">
        <f>$F$21/12</f>
        <v>625</v>
      </c>
      <c r="AB21" s="692">
        <f>Y21+Z21-AA21</f>
        <v>0</v>
      </c>
      <c r="AC21" s="692">
        <v>7500</v>
      </c>
      <c r="AD21" s="692">
        <f>$F$21/12</f>
        <v>625</v>
      </c>
      <c r="AE21" s="692">
        <f t="shared" si="21"/>
        <v>6875</v>
      </c>
      <c r="AF21" s="692"/>
      <c r="AG21" s="692">
        <f t="shared" ref="AG21:BE21" si="44">$F$21/12</f>
        <v>625</v>
      </c>
      <c r="AH21" s="692">
        <f t="shared" si="23"/>
        <v>6250</v>
      </c>
      <c r="AI21" s="692"/>
      <c r="AJ21" s="692">
        <f t="shared" si="44"/>
        <v>625</v>
      </c>
      <c r="AK21" s="692">
        <f t="shared" si="24"/>
        <v>5625</v>
      </c>
      <c r="AL21" s="692"/>
      <c r="AM21" s="692">
        <f t="shared" si="44"/>
        <v>625</v>
      </c>
      <c r="AN21" s="692">
        <f t="shared" si="25"/>
        <v>5000</v>
      </c>
      <c r="AO21" s="692"/>
      <c r="AP21" s="692">
        <f t="shared" si="44"/>
        <v>625</v>
      </c>
      <c r="AQ21" s="692">
        <f t="shared" si="26"/>
        <v>4375</v>
      </c>
      <c r="AR21" s="692"/>
      <c r="AS21" s="692">
        <f t="shared" si="44"/>
        <v>625</v>
      </c>
      <c r="AT21" s="692">
        <f t="shared" si="27"/>
        <v>3750</v>
      </c>
      <c r="AU21" s="692"/>
      <c r="AV21" s="692">
        <f t="shared" si="44"/>
        <v>625</v>
      </c>
      <c r="AW21" s="692">
        <f t="shared" si="38"/>
        <v>3125</v>
      </c>
      <c r="AX21" s="512"/>
      <c r="AY21" s="692">
        <f t="shared" si="44"/>
        <v>625</v>
      </c>
      <c r="AZ21" s="692">
        <f t="shared" si="39"/>
        <v>2500</v>
      </c>
      <c r="BA21" s="692"/>
      <c r="BB21" s="692">
        <f t="shared" si="44"/>
        <v>625</v>
      </c>
      <c r="BC21" s="692">
        <f t="shared" si="41"/>
        <v>1875</v>
      </c>
      <c r="BD21" s="692"/>
      <c r="BE21" s="692">
        <f t="shared" si="44"/>
        <v>625</v>
      </c>
      <c r="BF21" s="692">
        <f t="shared" si="42"/>
        <v>1250</v>
      </c>
    </row>
    <row r="22" spans="1:58" s="579" customFormat="1" ht="15" customHeight="1" x14ac:dyDescent="0.25">
      <c r="A22" s="227" t="s">
        <v>158</v>
      </c>
      <c r="B22" s="227" t="s">
        <v>1042</v>
      </c>
      <c r="C22" s="689">
        <v>44958</v>
      </c>
      <c r="D22" s="689">
        <v>45322</v>
      </c>
      <c r="E22" s="690">
        <v>7500</v>
      </c>
      <c r="F22" s="691">
        <v>7500</v>
      </c>
      <c r="G22" s="692">
        <v>625</v>
      </c>
      <c r="H22" s="692"/>
      <c r="I22" s="692">
        <f>$F$22/12</f>
        <v>625</v>
      </c>
      <c r="J22" s="692">
        <f>G22+H22-I22</f>
        <v>0</v>
      </c>
      <c r="K22" s="692">
        <v>7500</v>
      </c>
      <c r="L22" s="692">
        <f>$F$22/12</f>
        <v>625</v>
      </c>
      <c r="M22" s="692">
        <f>J22+K22-L22</f>
        <v>6875</v>
      </c>
      <c r="N22" s="692"/>
      <c r="O22" s="692">
        <f>$F$22/12</f>
        <v>625</v>
      </c>
      <c r="P22" s="692">
        <f>M22+N22-O22</f>
        <v>6250</v>
      </c>
      <c r="Q22" s="692"/>
      <c r="R22" s="692">
        <f>$F$22/12</f>
        <v>625</v>
      </c>
      <c r="S22" s="692">
        <f>P22+Q22-R22</f>
        <v>5625</v>
      </c>
      <c r="T22" s="692"/>
      <c r="U22" s="692">
        <f>$F$22/12</f>
        <v>625</v>
      </c>
      <c r="V22" s="692">
        <f>S22+T22-U22</f>
        <v>5000</v>
      </c>
      <c r="W22" s="692"/>
      <c r="X22" s="692">
        <f>$F$22/12</f>
        <v>625</v>
      </c>
      <c r="Y22" s="692">
        <f>V22+W22-X22</f>
        <v>4375</v>
      </c>
      <c r="Z22" s="692"/>
      <c r="AA22" s="692">
        <f>$F$22/12</f>
        <v>625</v>
      </c>
      <c r="AB22" s="692">
        <f>Y22+Z22-AA22</f>
        <v>3750</v>
      </c>
      <c r="AC22" s="692"/>
      <c r="AD22" s="692">
        <f>$F$22/12</f>
        <v>625</v>
      </c>
      <c r="AE22" s="692">
        <f>AB22+AC22-AD22</f>
        <v>3125</v>
      </c>
      <c r="AF22" s="692"/>
      <c r="AG22" s="692">
        <f>$F$22/12</f>
        <v>625</v>
      </c>
      <c r="AH22" s="692">
        <f>AE22+AF22-AG22</f>
        <v>2500</v>
      </c>
      <c r="AI22" s="692"/>
      <c r="AJ22" s="692">
        <f>$F$22/12</f>
        <v>625</v>
      </c>
      <c r="AK22" s="692">
        <f>AH22+AI22-AJ22</f>
        <v>1875</v>
      </c>
      <c r="AL22" s="692"/>
      <c r="AM22" s="692">
        <f>$F$22/12</f>
        <v>625</v>
      </c>
      <c r="AN22" s="692">
        <f>AK22+AL22-AM22</f>
        <v>1250</v>
      </c>
      <c r="AO22" s="692"/>
      <c r="AP22" s="692">
        <f>$F$22/12</f>
        <v>625</v>
      </c>
      <c r="AQ22" s="692">
        <f>AN22+AO22-AP22</f>
        <v>625</v>
      </c>
      <c r="AR22" s="692"/>
      <c r="AS22" s="692">
        <f>$F$22/12</f>
        <v>625</v>
      </c>
      <c r="AT22" s="692">
        <f>AQ22+AR22-AS22</f>
        <v>0</v>
      </c>
      <c r="AU22" s="692"/>
      <c r="AV22" s="692"/>
      <c r="AW22" s="692">
        <f>AT22+AU22-AV22</f>
        <v>0</v>
      </c>
      <c r="AX22" s="512"/>
      <c r="AY22" s="692"/>
      <c r="AZ22" s="692">
        <f>AW22+AX22-AY22</f>
        <v>0</v>
      </c>
      <c r="BA22" s="692"/>
      <c r="BB22" s="692"/>
      <c r="BC22" s="692">
        <f>AZ22+BA22-BB22</f>
        <v>0</v>
      </c>
      <c r="BD22" s="692"/>
      <c r="BE22" s="692"/>
      <c r="BF22" s="692">
        <f>BC22+BD22-BE22</f>
        <v>0</v>
      </c>
    </row>
    <row r="23" spans="1:58" s="579" customFormat="1" x14ac:dyDescent="0.25">
      <c r="A23" s="227" t="s">
        <v>674</v>
      </c>
      <c r="B23" s="227" t="s">
        <v>1089</v>
      </c>
      <c r="C23" s="689">
        <v>44927</v>
      </c>
      <c r="D23" s="689">
        <v>45291</v>
      </c>
      <c r="E23" s="690">
        <v>7500</v>
      </c>
      <c r="F23" s="691">
        <v>7500</v>
      </c>
      <c r="G23" s="692">
        <v>0</v>
      </c>
      <c r="H23" s="692">
        <v>7500</v>
      </c>
      <c r="I23" s="692">
        <f>$F$23/12</f>
        <v>625</v>
      </c>
      <c r="J23" s="692">
        <f t="shared" si="14"/>
        <v>6875</v>
      </c>
      <c r="K23" s="692"/>
      <c r="L23" s="692">
        <f>$F$23/12</f>
        <v>625</v>
      </c>
      <c r="M23" s="692">
        <f t="shared" si="15"/>
        <v>6250</v>
      </c>
      <c r="N23" s="692"/>
      <c r="O23" s="692">
        <f>$F$23/12</f>
        <v>625</v>
      </c>
      <c r="P23" s="692">
        <f t="shared" si="16"/>
        <v>5625</v>
      </c>
      <c r="Q23" s="692"/>
      <c r="R23" s="692">
        <f>$F$23/12</f>
        <v>625</v>
      </c>
      <c r="S23" s="692">
        <f t="shared" si="17"/>
        <v>5000</v>
      </c>
      <c r="T23" s="692"/>
      <c r="U23" s="692">
        <f>$F$23/12</f>
        <v>625</v>
      </c>
      <c r="V23" s="692">
        <f t="shared" si="18"/>
        <v>4375</v>
      </c>
      <c r="W23" s="692"/>
      <c r="X23" s="692">
        <f>$F$23/12</f>
        <v>625</v>
      </c>
      <c r="Y23" s="692">
        <f t="shared" si="19"/>
        <v>3750</v>
      </c>
      <c r="Z23" s="692"/>
      <c r="AA23" s="692">
        <f>$F$23/12</f>
        <v>625</v>
      </c>
      <c r="AB23" s="692">
        <f t="shared" si="20"/>
        <v>3125</v>
      </c>
      <c r="AC23" s="692"/>
      <c r="AD23" s="692">
        <f>$F$23/12</f>
        <v>625</v>
      </c>
      <c r="AE23" s="692">
        <f t="shared" si="21"/>
        <v>2500</v>
      </c>
      <c r="AF23" s="692"/>
      <c r="AG23" s="692">
        <f>$F$23/12</f>
        <v>625</v>
      </c>
      <c r="AH23" s="692">
        <f t="shared" si="23"/>
        <v>1875</v>
      </c>
      <c r="AI23" s="692"/>
      <c r="AJ23" s="692">
        <f>$F$23/12</f>
        <v>625</v>
      </c>
      <c r="AK23" s="692">
        <f t="shared" si="24"/>
        <v>1250</v>
      </c>
      <c r="AL23" s="692">
        <f>-625*10</f>
        <v>-6250</v>
      </c>
      <c r="AM23" s="692">
        <v>-5000</v>
      </c>
      <c r="AN23" s="692">
        <f t="shared" si="25"/>
        <v>0</v>
      </c>
      <c r="AO23" s="692"/>
      <c r="AP23" s="692"/>
      <c r="AQ23" s="692">
        <f t="shared" si="26"/>
        <v>0</v>
      </c>
      <c r="AR23" s="692"/>
      <c r="AS23" s="696"/>
      <c r="AT23" s="692">
        <f t="shared" si="27"/>
        <v>0</v>
      </c>
      <c r="AU23" s="692"/>
      <c r="AV23" s="696"/>
      <c r="AW23" s="692">
        <f t="shared" si="38"/>
        <v>0</v>
      </c>
      <c r="AX23" s="512"/>
      <c r="AY23" s="696"/>
      <c r="AZ23" s="692">
        <f t="shared" si="39"/>
        <v>0</v>
      </c>
      <c r="BA23" s="692"/>
      <c r="BB23" s="696"/>
      <c r="BC23" s="692">
        <f t="shared" si="41"/>
        <v>0</v>
      </c>
      <c r="BD23" s="692"/>
      <c r="BE23" s="696"/>
      <c r="BF23" s="692">
        <f t="shared" si="42"/>
        <v>0</v>
      </c>
    </row>
    <row r="24" spans="1:58" s="579" customFormat="1" x14ac:dyDescent="0.25">
      <c r="A24" s="227" t="s">
        <v>580</v>
      </c>
      <c r="B24" s="227" t="s">
        <v>1538</v>
      </c>
      <c r="C24" s="689">
        <v>45383</v>
      </c>
      <c r="D24" s="689">
        <v>45747</v>
      </c>
      <c r="E24" s="690">
        <v>11000</v>
      </c>
      <c r="F24" s="691">
        <v>7500</v>
      </c>
      <c r="G24" s="692">
        <v>1875</v>
      </c>
      <c r="H24" s="692"/>
      <c r="I24" s="692">
        <f>$F$24/12</f>
        <v>625</v>
      </c>
      <c r="J24" s="692">
        <f t="shared" si="14"/>
        <v>1250</v>
      </c>
      <c r="K24" s="692"/>
      <c r="L24" s="692">
        <f>$F$24/12</f>
        <v>625</v>
      </c>
      <c r="M24" s="692">
        <f t="shared" si="15"/>
        <v>625</v>
      </c>
      <c r="N24" s="692"/>
      <c r="O24" s="692">
        <f>$F$24/12</f>
        <v>625</v>
      </c>
      <c r="P24" s="692">
        <f t="shared" si="16"/>
        <v>0</v>
      </c>
      <c r="Q24" s="692">
        <v>7500</v>
      </c>
      <c r="R24" s="692">
        <f>$F$24/12</f>
        <v>625</v>
      </c>
      <c r="S24" s="692">
        <f t="shared" si="17"/>
        <v>6875</v>
      </c>
      <c r="T24" s="692"/>
      <c r="U24" s="692">
        <f>$F$24/12</f>
        <v>625</v>
      </c>
      <c r="V24" s="692">
        <f t="shared" si="18"/>
        <v>6250</v>
      </c>
      <c r="W24" s="692"/>
      <c r="X24" s="692">
        <f>$F$24/12</f>
        <v>625</v>
      </c>
      <c r="Y24" s="692">
        <f t="shared" si="19"/>
        <v>5625</v>
      </c>
      <c r="Z24" s="692"/>
      <c r="AA24" s="692">
        <f>$F$24/12</f>
        <v>625</v>
      </c>
      <c r="AB24" s="692">
        <f t="shared" si="20"/>
        <v>5000</v>
      </c>
      <c r="AC24" s="692"/>
      <c r="AD24" s="692">
        <f>$F$24/12</f>
        <v>625</v>
      </c>
      <c r="AE24" s="692">
        <f t="shared" si="21"/>
        <v>4375</v>
      </c>
      <c r="AF24" s="692"/>
      <c r="AG24" s="692">
        <f t="shared" ref="AG24:AY24" si="45">$F$24/12</f>
        <v>625</v>
      </c>
      <c r="AH24" s="692">
        <f t="shared" si="23"/>
        <v>3750</v>
      </c>
      <c r="AI24" s="692"/>
      <c r="AJ24" s="692">
        <f t="shared" si="45"/>
        <v>625</v>
      </c>
      <c r="AK24" s="692">
        <f t="shared" si="24"/>
        <v>3125</v>
      </c>
      <c r="AL24" s="692"/>
      <c r="AM24" s="692">
        <f t="shared" si="45"/>
        <v>625</v>
      </c>
      <c r="AN24" s="692">
        <f t="shared" si="25"/>
        <v>2500</v>
      </c>
      <c r="AO24" s="692"/>
      <c r="AP24" s="692">
        <f t="shared" si="45"/>
        <v>625</v>
      </c>
      <c r="AQ24" s="692">
        <f t="shared" si="26"/>
        <v>1875</v>
      </c>
      <c r="AR24" s="692"/>
      <c r="AS24" s="692">
        <f t="shared" si="45"/>
        <v>625</v>
      </c>
      <c r="AT24" s="692">
        <f t="shared" si="27"/>
        <v>1250</v>
      </c>
      <c r="AU24" s="692"/>
      <c r="AV24" s="692">
        <f t="shared" si="45"/>
        <v>625</v>
      </c>
      <c r="AW24" s="692">
        <f t="shared" si="38"/>
        <v>625</v>
      </c>
      <c r="AX24" s="512"/>
      <c r="AY24" s="692">
        <f t="shared" si="45"/>
        <v>625</v>
      </c>
      <c r="AZ24" s="692">
        <f t="shared" si="39"/>
        <v>0</v>
      </c>
      <c r="BA24" s="692">
        <v>7500</v>
      </c>
      <c r="BB24" s="692">
        <f t="shared" ref="BB24:BE24" si="46">$F$24/12</f>
        <v>625</v>
      </c>
      <c r="BC24" s="692">
        <f t="shared" si="41"/>
        <v>6875</v>
      </c>
      <c r="BD24" s="692"/>
      <c r="BE24" s="692">
        <f t="shared" si="46"/>
        <v>625</v>
      </c>
      <c r="BF24" s="692">
        <f t="shared" si="42"/>
        <v>6250</v>
      </c>
    </row>
    <row r="25" spans="1:58" s="579" customFormat="1" x14ac:dyDescent="0.25">
      <c r="A25" s="227" t="s">
        <v>160</v>
      </c>
      <c r="B25" s="227" t="s">
        <v>1448</v>
      </c>
      <c r="C25" s="689">
        <v>45292</v>
      </c>
      <c r="D25" s="689">
        <v>45657</v>
      </c>
      <c r="E25" s="690">
        <v>7500</v>
      </c>
      <c r="F25" s="691">
        <v>7500</v>
      </c>
      <c r="G25" s="692">
        <v>0</v>
      </c>
      <c r="H25" s="692">
        <v>7500</v>
      </c>
      <c r="I25" s="692">
        <f>$F$25/12</f>
        <v>625</v>
      </c>
      <c r="J25" s="692">
        <f t="shared" si="14"/>
        <v>6875</v>
      </c>
      <c r="K25" s="692"/>
      <c r="L25" s="692">
        <f>$F$25/12</f>
        <v>625</v>
      </c>
      <c r="M25" s="692">
        <f t="shared" si="15"/>
        <v>6250</v>
      </c>
      <c r="N25" s="692"/>
      <c r="O25" s="692">
        <f>$F$25/12</f>
        <v>625</v>
      </c>
      <c r="P25" s="692">
        <f t="shared" si="16"/>
        <v>5625</v>
      </c>
      <c r="Q25" s="692"/>
      <c r="R25" s="692">
        <f>$F$25/12</f>
        <v>625</v>
      </c>
      <c r="S25" s="692">
        <f t="shared" si="17"/>
        <v>5000</v>
      </c>
      <c r="T25" s="692"/>
      <c r="U25" s="692">
        <f>$F$25/12</f>
        <v>625</v>
      </c>
      <c r="V25" s="692">
        <f t="shared" si="18"/>
        <v>4375</v>
      </c>
      <c r="W25" s="692"/>
      <c r="X25" s="692">
        <f>$F$25/12</f>
        <v>625</v>
      </c>
      <c r="Y25" s="692">
        <f t="shared" si="19"/>
        <v>3750</v>
      </c>
      <c r="Z25" s="692"/>
      <c r="AA25" s="692">
        <f>$F$25/12</f>
        <v>625</v>
      </c>
      <c r="AB25" s="692">
        <f t="shared" si="20"/>
        <v>3125</v>
      </c>
      <c r="AC25" s="692"/>
      <c r="AD25" s="692">
        <f>$F$25/12</f>
        <v>625</v>
      </c>
      <c r="AE25" s="692">
        <f t="shared" si="21"/>
        <v>2500</v>
      </c>
      <c r="AF25" s="692"/>
      <c r="AG25" s="692">
        <f>$F$25/12</f>
        <v>625</v>
      </c>
      <c r="AH25" s="692">
        <f t="shared" si="23"/>
        <v>1875</v>
      </c>
      <c r="AI25" s="692"/>
      <c r="AJ25" s="692">
        <f>$F$25/12</f>
        <v>625</v>
      </c>
      <c r="AK25" s="692">
        <f t="shared" si="24"/>
        <v>1250</v>
      </c>
      <c r="AL25" s="692"/>
      <c r="AM25" s="692">
        <f>$F$25/12</f>
        <v>625</v>
      </c>
      <c r="AN25" s="692">
        <f>AK25+AL25-AM25</f>
        <v>625</v>
      </c>
      <c r="AO25" s="692"/>
      <c r="AP25" s="692">
        <f>$F$25/12</f>
        <v>625</v>
      </c>
      <c r="AQ25" s="692">
        <f t="shared" si="26"/>
        <v>0</v>
      </c>
      <c r="AR25" s="692">
        <v>7500</v>
      </c>
      <c r="AS25" s="692">
        <f>$F$25/12</f>
        <v>625</v>
      </c>
      <c r="AT25" s="692">
        <f t="shared" si="27"/>
        <v>6875</v>
      </c>
      <c r="AU25" s="692"/>
      <c r="AV25" s="692">
        <f>$F$25/12</f>
        <v>625</v>
      </c>
      <c r="AW25" s="692">
        <f t="shared" si="38"/>
        <v>6250</v>
      </c>
      <c r="AX25" s="512"/>
      <c r="AY25" s="692">
        <f t="shared" ref="AY25:BE25" si="47">$F$25/12</f>
        <v>625</v>
      </c>
      <c r="AZ25" s="692">
        <f t="shared" si="39"/>
        <v>5625</v>
      </c>
      <c r="BA25" s="692"/>
      <c r="BB25" s="692">
        <f t="shared" si="47"/>
        <v>625</v>
      </c>
      <c r="BC25" s="692">
        <f t="shared" si="41"/>
        <v>5000</v>
      </c>
      <c r="BD25" s="692"/>
      <c r="BE25" s="692">
        <f t="shared" si="47"/>
        <v>625</v>
      </c>
      <c r="BF25" s="692">
        <f t="shared" si="42"/>
        <v>4375</v>
      </c>
    </row>
    <row r="26" spans="1:58" s="579" customFormat="1" x14ac:dyDescent="0.25">
      <c r="A26" s="514" t="s">
        <v>162</v>
      </c>
      <c r="B26" s="514" t="s">
        <v>1314</v>
      </c>
      <c r="C26" s="510">
        <v>45170</v>
      </c>
      <c r="D26" s="510">
        <v>45535</v>
      </c>
      <c r="E26" s="690">
        <v>25000</v>
      </c>
      <c r="F26" s="691">
        <v>18000</v>
      </c>
      <c r="G26" s="692">
        <v>12000</v>
      </c>
      <c r="H26" s="692"/>
      <c r="I26" s="692">
        <f>$F$26/12</f>
        <v>1500</v>
      </c>
      <c r="J26" s="692">
        <f t="shared" si="14"/>
        <v>10500</v>
      </c>
      <c r="K26" s="692"/>
      <c r="L26" s="692">
        <f>$F$26/12</f>
        <v>1500</v>
      </c>
      <c r="M26" s="692">
        <f t="shared" si="15"/>
        <v>9000</v>
      </c>
      <c r="N26" s="692"/>
      <c r="O26" s="692">
        <f>$F$26/12</f>
        <v>1500</v>
      </c>
      <c r="P26" s="692">
        <f t="shared" si="16"/>
        <v>7500</v>
      </c>
      <c r="Q26" s="692"/>
      <c r="R26" s="692">
        <f>$F$26/12</f>
        <v>1500</v>
      </c>
      <c r="S26" s="692">
        <f t="shared" si="17"/>
        <v>6000</v>
      </c>
      <c r="T26" s="692"/>
      <c r="U26" s="692">
        <f>$F$26/12</f>
        <v>1500</v>
      </c>
      <c r="V26" s="692">
        <f t="shared" si="18"/>
        <v>4500</v>
      </c>
      <c r="W26" s="692"/>
      <c r="X26" s="692">
        <f>$F$26/12</f>
        <v>1500</v>
      </c>
      <c r="Y26" s="692">
        <f>V26+W26-X26</f>
        <v>3000</v>
      </c>
      <c r="Z26" s="692"/>
      <c r="AA26" s="692">
        <f>$F$26/12</f>
        <v>1500</v>
      </c>
      <c r="AB26" s="692">
        <f>Y26+Z26-AA26</f>
        <v>1500</v>
      </c>
      <c r="AC26" s="692"/>
      <c r="AD26" s="692">
        <f>$F$26/12</f>
        <v>1500</v>
      </c>
      <c r="AE26" s="692">
        <f t="shared" si="21"/>
        <v>0</v>
      </c>
      <c r="AF26" s="692">
        <v>18000</v>
      </c>
      <c r="AG26" s="692">
        <f>$F$26/12</f>
        <v>1500</v>
      </c>
      <c r="AH26" s="692">
        <f>AE26+AF26-AG26</f>
        <v>16500</v>
      </c>
      <c r="AI26" s="692"/>
      <c r="AJ26" s="692">
        <f>$F$26/12</f>
        <v>1500</v>
      </c>
      <c r="AK26" s="692">
        <f>AH26+AI26-AJ26</f>
        <v>15000</v>
      </c>
      <c r="AL26" s="692"/>
      <c r="AM26" s="692">
        <f t="shared" ref="AM26:BE26" si="48">$F$26/12</f>
        <v>1500</v>
      </c>
      <c r="AN26" s="692">
        <f>AK26+AL26-AM26</f>
        <v>13500</v>
      </c>
      <c r="AO26" s="692"/>
      <c r="AP26" s="692">
        <f t="shared" si="48"/>
        <v>1500</v>
      </c>
      <c r="AQ26" s="692">
        <f>AN26+AO26-AP26</f>
        <v>12000</v>
      </c>
      <c r="AR26" s="692"/>
      <c r="AS26" s="692">
        <f t="shared" si="48"/>
        <v>1500</v>
      </c>
      <c r="AT26" s="692">
        <f>AQ26+AR26-AS26</f>
        <v>10500</v>
      </c>
      <c r="AU26" s="692"/>
      <c r="AV26" s="692">
        <f t="shared" si="48"/>
        <v>1500</v>
      </c>
      <c r="AW26" s="692">
        <f>AT26+AU26-AV26</f>
        <v>9000</v>
      </c>
      <c r="AX26" s="512"/>
      <c r="AY26" s="692">
        <f t="shared" si="48"/>
        <v>1500</v>
      </c>
      <c r="AZ26" s="692">
        <f>AW26+AX26-AY26</f>
        <v>7500</v>
      </c>
      <c r="BA26" s="692"/>
      <c r="BB26" s="692">
        <f t="shared" si="48"/>
        <v>1500</v>
      </c>
      <c r="BC26" s="692">
        <f>AZ26+BA26-BB26</f>
        <v>6000</v>
      </c>
      <c r="BD26" s="692"/>
      <c r="BE26" s="692">
        <f t="shared" si="48"/>
        <v>1500</v>
      </c>
      <c r="BF26" s="692">
        <f>BC26+BD26-BE26</f>
        <v>4500</v>
      </c>
    </row>
    <row r="27" spans="1:58" s="579" customFormat="1" x14ac:dyDescent="0.25">
      <c r="A27" s="514" t="s">
        <v>763</v>
      </c>
      <c r="B27" s="514" t="s">
        <v>1449</v>
      </c>
      <c r="C27" s="689">
        <v>45292</v>
      </c>
      <c r="D27" s="689">
        <v>45657</v>
      </c>
      <c r="E27" s="690">
        <v>10000</v>
      </c>
      <c r="F27" s="691">
        <v>7500</v>
      </c>
      <c r="G27" s="692"/>
      <c r="H27" s="692">
        <v>7500</v>
      </c>
      <c r="I27" s="692">
        <f>$F$27/12</f>
        <v>625</v>
      </c>
      <c r="J27" s="692">
        <f t="shared" si="14"/>
        <v>6875</v>
      </c>
      <c r="K27" s="692"/>
      <c r="L27" s="692">
        <f>$F$27/12</f>
        <v>625</v>
      </c>
      <c r="M27" s="692">
        <f t="shared" si="15"/>
        <v>6250</v>
      </c>
      <c r="N27" s="692"/>
      <c r="O27" s="692">
        <f>$F$27/12</f>
        <v>625</v>
      </c>
      <c r="P27" s="692">
        <f t="shared" si="16"/>
        <v>5625</v>
      </c>
      <c r="Q27" s="692"/>
      <c r="R27" s="692">
        <f>$F$27/12</f>
        <v>625</v>
      </c>
      <c r="S27" s="692">
        <f t="shared" si="17"/>
        <v>5000</v>
      </c>
      <c r="T27" s="692"/>
      <c r="U27" s="692">
        <f>$F$27/12</f>
        <v>625</v>
      </c>
      <c r="V27" s="692">
        <f t="shared" si="18"/>
        <v>4375</v>
      </c>
      <c r="W27" s="692"/>
      <c r="X27" s="692">
        <f>$F$27/12</f>
        <v>625</v>
      </c>
      <c r="Y27" s="692">
        <f t="shared" si="19"/>
        <v>3750</v>
      </c>
      <c r="Z27" s="692"/>
      <c r="AA27" s="692">
        <f>$F$27/12</f>
        <v>625</v>
      </c>
      <c r="AB27" s="692">
        <f t="shared" si="20"/>
        <v>3125</v>
      </c>
      <c r="AC27" s="692"/>
      <c r="AD27" s="692">
        <f>$F$27/12</f>
        <v>625</v>
      </c>
      <c r="AE27" s="692">
        <f t="shared" si="21"/>
        <v>2500</v>
      </c>
      <c r="AF27" s="692"/>
      <c r="AG27" s="692">
        <f>$F$27/12</f>
        <v>625</v>
      </c>
      <c r="AH27" s="692">
        <f t="shared" si="23"/>
        <v>1875</v>
      </c>
      <c r="AI27" s="692"/>
      <c r="AJ27" s="692">
        <f>$F$27/12</f>
        <v>625</v>
      </c>
      <c r="AK27" s="692">
        <f t="shared" si="24"/>
        <v>1250</v>
      </c>
      <c r="AL27" s="692"/>
      <c r="AM27" s="692">
        <f>$F$27/12</f>
        <v>625</v>
      </c>
      <c r="AN27" s="692">
        <f t="shared" si="25"/>
        <v>625</v>
      </c>
      <c r="AO27" s="692"/>
      <c r="AP27" s="692">
        <f>$F$27/12</f>
        <v>625</v>
      </c>
      <c r="AQ27" s="692">
        <f t="shared" si="26"/>
        <v>0</v>
      </c>
      <c r="AR27" s="692">
        <v>7500</v>
      </c>
      <c r="AS27" s="692">
        <f>$F$27/12</f>
        <v>625</v>
      </c>
      <c r="AT27" s="692">
        <f t="shared" si="27"/>
        <v>6875</v>
      </c>
      <c r="AU27" s="692"/>
      <c r="AV27" s="692">
        <f>$F$27/12</f>
        <v>625</v>
      </c>
      <c r="AW27" s="692">
        <f t="shared" ref="AW27:AW52" si="49">AT27+AU27-AV27</f>
        <v>6250</v>
      </c>
      <c r="AX27" s="512"/>
      <c r="AY27" s="692">
        <f t="shared" ref="AY27:BE27" si="50">$F$27/12</f>
        <v>625</v>
      </c>
      <c r="AZ27" s="692">
        <f t="shared" ref="AZ27:AZ40" si="51">AW27+AX27-AY27</f>
        <v>5625</v>
      </c>
      <c r="BA27" s="692"/>
      <c r="BB27" s="692">
        <f t="shared" si="50"/>
        <v>625</v>
      </c>
      <c r="BC27" s="692">
        <f t="shared" ref="BC27:BC40" si="52">AZ27+BA27-BB27</f>
        <v>5000</v>
      </c>
      <c r="BD27" s="692"/>
      <c r="BE27" s="692">
        <f t="shared" si="50"/>
        <v>625</v>
      </c>
      <c r="BF27" s="692">
        <f t="shared" ref="BF27:BF40" si="53">BC27+BD27-BE27</f>
        <v>4375</v>
      </c>
    </row>
    <row r="28" spans="1:58" s="579" customFormat="1" x14ac:dyDescent="0.25">
      <c r="A28" s="227" t="s">
        <v>166</v>
      </c>
      <c r="B28" s="518" t="s">
        <v>800</v>
      </c>
      <c r="C28" s="510">
        <v>44593</v>
      </c>
      <c r="D28" s="510">
        <v>44957</v>
      </c>
      <c r="E28" s="690">
        <v>7500</v>
      </c>
      <c r="F28" s="691">
        <v>7500</v>
      </c>
      <c r="G28" s="692">
        <v>625</v>
      </c>
      <c r="H28" s="692"/>
      <c r="I28" s="692">
        <f>$F$28/12</f>
        <v>625</v>
      </c>
      <c r="J28" s="692">
        <f t="shared" si="14"/>
        <v>0</v>
      </c>
      <c r="K28" s="692"/>
      <c r="L28" s="696"/>
      <c r="M28" s="692">
        <f t="shared" si="15"/>
        <v>0</v>
      </c>
      <c r="N28" s="696"/>
      <c r="O28" s="696"/>
      <c r="P28" s="692">
        <f t="shared" si="16"/>
        <v>0</v>
      </c>
      <c r="Q28" s="692"/>
      <c r="R28" s="696"/>
      <c r="S28" s="692">
        <f t="shared" si="17"/>
        <v>0</v>
      </c>
      <c r="T28" s="692"/>
      <c r="U28" s="696"/>
      <c r="V28" s="692">
        <f t="shared" si="18"/>
        <v>0</v>
      </c>
      <c r="W28" s="692"/>
      <c r="X28" s="696"/>
      <c r="Y28" s="692">
        <f t="shared" si="19"/>
        <v>0</v>
      </c>
      <c r="Z28" s="696"/>
      <c r="AA28" s="696"/>
      <c r="AB28" s="692">
        <f t="shared" si="20"/>
        <v>0</v>
      </c>
      <c r="AC28" s="696"/>
      <c r="AD28" s="696"/>
      <c r="AE28" s="692">
        <f t="shared" si="21"/>
        <v>0</v>
      </c>
      <c r="AF28" s="692"/>
      <c r="AG28" s="696"/>
      <c r="AH28" s="692">
        <f t="shared" si="23"/>
        <v>0</v>
      </c>
      <c r="AI28" s="692"/>
      <c r="AJ28" s="696"/>
      <c r="AK28" s="692">
        <f t="shared" si="24"/>
        <v>0</v>
      </c>
      <c r="AL28" s="692"/>
      <c r="AM28" s="696"/>
      <c r="AN28" s="692">
        <f t="shared" si="25"/>
        <v>0</v>
      </c>
      <c r="AO28" s="692"/>
      <c r="AP28" s="696"/>
      <c r="AQ28" s="692">
        <f t="shared" si="26"/>
        <v>0</v>
      </c>
      <c r="AR28" s="692"/>
      <c r="AS28" s="696"/>
      <c r="AT28" s="692">
        <f t="shared" si="27"/>
        <v>0</v>
      </c>
      <c r="AU28" s="692"/>
      <c r="AV28" s="696"/>
      <c r="AW28" s="692">
        <f t="shared" si="49"/>
        <v>0</v>
      </c>
      <c r="AX28" s="512"/>
      <c r="AY28" s="696"/>
      <c r="AZ28" s="692">
        <f t="shared" si="51"/>
        <v>0</v>
      </c>
      <c r="BA28" s="692"/>
      <c r="BB28" s="696"/>
      <c r="BC28" s="692">
        <f t="shared" si="52"/>
        <v>0</v>
      </c>
      <c r="BD28" s="692"/>
      <c r="BE28" s="696"/>
      <c r="BF28" s="692">
        <f t="shared" si="53"/>
        <v>0</v>
      </c>
    </row>
    <row r="29" spans="1:58" s="579" customFormat="1" x14ac:dyDescent="0.25">
      <c r="A29" s="202" t="s">
        <v>1121</v>
      </c>
      <c r="B29" s="202" t="s">
        <v>1578</v>
      </c>
      <c r="C29" s="510">
        <v>45383</v>
      </c>
      <c r="D29" s="510">
        <v>45747</v>
      </c>
      <c r="E29" s="513">
        <v>7500</v>
      </c>
      <c r="F29" s="695">
        <v>7500</v>
      </c>
      <c r="G29" s="692">
        <v>1875</v>
      </c>
      <c r="H29" s="692"/>
      <c r="I29" s="692">
        <f>$F$29/12</f>
        <v>625</v>
      </c>
      <c r="J29" s="692">
        <f t="shared" si="14"/>
        <v>1250</v>
      </c>
      <c r="K29" s="692"/>
      <c r="L29" s="692">
        <f>$F$29/12</f>
        <v>625</v>
      </c>
      <c r="M29" s="692">
        <f t="shared" si="15"/>
        <v>625</v>
      </c>
      <c r="N29" s="692"/>
      <c r="O29" s="692">
        <f>$F$29/12</f>
        <v>625</v>
      </c>
      <c r="P29" s="692">
        <f t="shared" si="16"/>
        <v>0</v>
      </c>
      <c r="Q29" s="692">
        <v>7500</v>
      </c>
      <c r="R29" s="692">
        <f>$F$29/12</f>
        <v>625</v>
      </c>
      <c r="S29" s="692">
        <f t="shared" si="17"/>
        <v>6875</v>
      </c>
      <c r="T29" s="692"/>
      <c r="U29" s="692">
        <f>$F$29/12</f>
        <v>625</v>
      </c>
      <c r="V29" s="692">
        <f t="shared" si="18"/>
        <v>6250</v>
      </c>
      <c r="W29" s="692"/>
      <c r="X29" s="692">
        <f>$F$29/12</f>
        <v>625</v>
      </c>
      <c r="Y29" s="692">
        <f t="shared" si="19"/>
        <v>5625</v>
      </c>
      <c r="Z29" s="692"/>
      <c r="AA29" s="692">
        <f>$F$29/12</f>
        <v>625</v>
      </c>
      <c r="AB29" s="692">
        <f t="shared" si="20"/>
        <v>5000</v>
      </c>
      <c r="AC29" s="692"/>
      <c r="AD29" s="692">
        <f>$F$29/12</f>
        <v>625</v>
      </c>
      <c r="AE29" s="692">
        <f t="shared" si="21"/>
        <v>4375</v>
      </c>
      <c r="AF29" s="692"/>
      <c r="AG29" s="692">
        <f t="shared" ref="AG29:AY29" si="54">$F$29/12</f>
        <v>625</v>
      </c>
      <c r="AH29" s="692">
        <f t="shared" si="23"/>
        <v>3750</v>
      </c>
      <c r="AI29" s="692"/>
      <c r="AJ29" s="692">
        <f t="shared" si="54"/>
        <v>625</v>
      </c>
      <c r="AK29" s="692">
        <f t="shared" si="24"/>
        <v>3125</v>
      </c>
      <c r="AL29" s="692"/>
      <c r="AM29" s="692">
        <f t="shared" si="54"/>
        <v>625</v>
      </c>
      <c r="AN29" s="692">
        <f t="shared" si="25"/>
        <v>2500</v>
      </c>
      <c r="AO29" s="692"/>
      <c r="AP29" s="692">
        <f t="shared" si="54"/>
        <v>625</v>
      </c>
      <c r="AQ29" s="692">
        <f t="shared" si="26"/>
        <v>1875</v>
      </c>
      <c r="AR29" s="692"/>
      <c r="AS29" s="692">
        <f t="shared" si="54"/>
        <v>625</v>
      </c>
      <c r="AT29" s="692">
        <f t="shared" si="27"/>
        <v>1250</v>
      </c>
      <c r="AU29" s="692"/>
      <c r="AV29" s="692">
        <f t="shared" si="54"/>
        <v>625</v>
      </c>
      <c r="AW29" s="692">
        <f t="shared" si="49"/>
        <v>625</v>
      </c>
      <c r="AX29" s="512"/>
      <c r="AY29" s="692">
        <f t="shared" si="54"/>
        <v>625</v>
      </c>
      <c r="AZ29" s="692">
        <f t="shared" si="51"/>
        <v>0</v>
      </c>
      <c r="BA29" s="692">
        <v>7500</v>
      </c>
      <c r="BB29" s="692">
        <f t="shared" ref="BB29" si="55">$F$29/12</f>
        <v>625</v>
      </c>
      <c r="BC29" s="692">
        <f t="shared" si="52"/>
        <v>6875</v>
      </c>
      <c r="BD29" s="692"/>
      <c r="BE29" s="692">
        <f t="shared" ref="BE29" si="56">$F$29/12</f>
        <v>625</v>
      </c>
      <c r="BF29" s="692">
        <f t="shared" si="53"/>
        <v>6250</v>
      </c>
    </row>
    <row r="30" spans="1:58" s="579" customFormat="1" x14ac:dyDescent="0.25">
      <c r="A30" s="514" t="s">
        <v>520</v>
      </c>
      <c r="B30" s="227" t="s">
        <v>1074</v>
      </c>
      <c r="C30" s="689">
        <v>44958</v>
      </c>
      <c r="D30" s="689">
        <v>45322</v>
      </c>
      <c r="E30" s="690">
        <v>11000</v>
      </c>
      <c r="F30" s="691">
        <v>7500</v>
      </c>
      <c r="G30" s="692">
        <v>625</v>
      </c>
      <c r="H30" s="692"/>
      <c r="I30" s="692">
        <f>$F$30/12</f>
        <v>625</v>
      </c>
      <c r="J30" s="692">
        <f t="shared" si="14"/>
        <v>0</v>
      </c>
      <c r="K30" s="692">
        <v>7500</v>
      </c>
      <c r="L30" s="692">
        <f>$F$30/12</f>
        <v>625</v>
      </c>
      <c r="M30" s="692">
        <f t="shared" si="15"/>
        <v>6875</v>
      </c>
      <c r="N30" s="696"/>
      <c r="O30" s="692">
        <f>$F$30/12</f>
        <v>625</v>
      </c>
      <c r="P30" s="692">
        <f t="shared" si="16"/>
        <v>6250</v>
      </c>
      <c r="Q30" s="692"/>
      <c r="R30" s="692">
        <f>$F$30/12</f>
        <v>625</v>
      </c>
      <c r="S30" s="692">
        <f t="shared" si="17"/>
        <v>5625</v>
      </c>
      <c r="T30" s="692"/>
      <c r="U30" s="692">
        <f>$F$30/12</f>
        <v>625</v>
      </c>
      <c r="V30" s="692">
        <f t="shared" si="18"/>
        <v>5000</v>
      </c>
      <c r="W30" s="692"/>
      <c r="X30" s="692">
        <f>$F$30/12</f>
        <v>625</v>
      </c>
      <c r="Y30" s="692">
        <f t="shared" si="19"/>
        <v>4375</v>
      </c>
      <c r="Z30" s="692"/>
      <c r="AA30" s="692">
        <f>$F$30/12</f>
        <v>625</v>
      </c>
      <c r="AB30" s="692">
        <f t="shared" si="20"/>
        <v>3750</v>
      </c>
      <c r="AC30" s="692"/>
      <c r="AD30" s="692">
        <f>$F$30/12</f>
        <v>625</v>
      </c>
      <c r="AE30" s="692">
        <f t="shared" si="21"/>
        <v>3125</v>
      </c>
      <c r="AF30" s="692"/>
      <c r="AG30" s="692">
        <f>$F$30/12</f>
        <v>625</v>
      </c>
      <c r="AH30" s="692">
        <f t="shared" si="23"/>
        <v>2500</v>
      </c>
      <c r="AI30" s="692"/>
      <c r="AJ30" s="692">
        <f>$F$30/12</f>
        <v>625</v>
      </c>
      <c r="AK30" s="692">
        <f t="shared" si="24"/>
        <v>1875</v>
      </c>
      <c r="AL30" s="692"/>
      <c r="AM30" s="692">
        <f>$F$30/12</f>
        <v>625</v>
      </c>
      <c r="AN30" s="692">
        <f t="shared" si="25"/>
        <v>1250</v>
      </c>
      <c r="AO30" s="692"/>
      <c r="AP30" s="692">
        <f>$F$30/12</f>
        <v>625</v>
      </c>
      <c r="AQ30" s="692">
        <f t="shared" si="26"/>
        <v>625</v>
      </c>
      <c r="AR30" s="692"/>
      <c r="AS30" s="692">
        <f>$F$30/12</f>
        <v>625</v>
      </c>
      <c r="AT30" s="692">
        <f t="shared" si="27"/>
        <v>0</v>
      </c>
      <c r="AU30" s="692"/>
      <c r="AV30" s="692"/>
      <c r="AW30" s="692">
        <f t="shared" si="49"/>
        <v>0</v>
      </c>
      <c r="AX30" s="512"/>
      <c r="AY30" s="696"/>
      <c r="AZ30" s="692">
        <f t="shared" si="51"/>
        <v>0</v>
      </c>
      <c r="BA30" s="692"/>
      <c r="BB30" s="696"/>
      <c r="BC30" s="692">
        <f t="shared" si="52"/>
        <v>0</v>
      </c>
      <c r="BD30" s="692"/>
      <c r="BE30" s="696"/>
      <c r="BF30" s="692">
        <f t="shared" si="53"/>
        <v>0</v>
      </c>
    </row>
    <row r="31" spans="1:58" s="580" customFormat="1" x14ac:dyDescent="0.25">
      <c r="A31" s="514" t="s">
        <v>920</v>
      </c>
      <c r="B31" s="227" t="s">
        <v>921</v>
      </c>
      <c r="C31" s="689">
        <v>44835</v>
      </c>
      <c r="D31" s="689">
        <v>45199</v>
      </c>
      <c r="E31" s="690">
        <v>15000</v>
      </c>
      <c r="F31" s="691">
        <v>11500</v>
      </c>
      <c r="G31" s="692">
        <v>8625.01</v>
      </c>
      <c r="H31" s="692"/>
      <c r="I31" s="692">
        <f>ROUND($F$31/12,2)</f>
        <v>958.33</v>
      </c>
      <c r="J31" s="692">
        <f t="shared" si="14"/>
        <v>7666.68</v>
      </c>
      <c r="K31" s="692"/>
      <c r="L31" s="692">
        <f>ROUND($F$31/12,2)</f>
        <v>958.33</v>
      </c>
      <c r="M31" s="692">
        <f t="shared" si="15"/>
        <v>6708.35</v>
      </c>
      <c r="N31" s="692"/>
      <c r="O31" s="692">
        <f>ROUND($F$31/12,2)</f>
        <v>958.33</v>
      </c>
      <c r="P31" s="692">
        <f t="shared" si="16"/>
        <v>5750.02</v>
      </c>
      <c r="Q31" s="692"/>
      <c r="R31" s="692">
        <f>ROUND($F$31/12,2)</f>
        <v>958.33</v>
      </c>
      <c r="S31" s="692">
        <f t="shared" si="17"/>
        <v>4791.6900000000005</v>
      </c>
      <c r="T31" s="692"/>
      <c r="U31" s="692">
        <f>ROUND($F$31/12,2)</f>
        <v>958.33</v>
      </c>
      <c r="V31" s="692">
        <f t="shared" si="18"/>
        <v>3833.3600000000006</v>
      </c>
      <c r="W31" s="692"/>
      <c r="X31" s="692">
        <f>ROUND($F$31/12,2)</f>
        <v>958.33</v>
      </c>
      <c r="Y31" s="692">
        <f t="shared" si="19"/>
        <v>2875.0300000000007</v>
      </c>
      <c r="Z31" s="692"/>
      <c r="AA31" s="692">
        <f>ROUND($F$31/12,2)</f>
        <v>958.33</v>
      </c>
      <c r="AB31" s="692">
        <f t="shared" si="20"/>
        <v>1916.7000000000007</v>
      </c>
      <c r="AC31" s="692"/>
      <c r="AD31" s="692">
        <f>ROUND($F$31/12,2)</f>
        <v>958.33</v>
      </c>
      <c r="AE31" s="692">
        <f t="shared" si="21"/>
        <v>958.37000000000069</v>
      </c>
      <c r="AF31" s="692"/>
      <c r="AG31" s="692">
        <f>ROUND($F$31/12,2)+0.04</f>
        <v>958.37</v>
      </c>
      <c r="AH31" s="692">
        <f t="shared" si="23"/>
        <v>0</v>
      </c>
      <c r="AI31" s="692"/>
      <c r="AJ31" s="692"/>
      <c r="AK31" s="692">
        <f t="shared" si="24"/>
        <v>0</v>
      </c>
      <c r="AL31" s="692"/>
      <c r="AM31" s="692"/>
      <c r="AN31" s="692">
        <f t="shared" si="25"/>
        <v>0</v>
      </c>
      <c r="AO31" s="692"/>
      <c r="AP31" s="692"/>
      <c r="AQ31" s="692">
        <f t="shared" si="26"/>
        <v>0</v>
      </c>
      <c r="AR31" s="692"/>
      <c r="AS31" s="692"/>
      <c r="AT31" s="692">
        <f t="shared" si="27"/>
        <v>0</v>
      </c>
      <c r="AU31" s="692"/>
      <c r="AV31" s="692"/>
      <c r="AW31" s="692">
        <f t="shared" si="49"/>
        <v>0</v>
      </c>
      <c r="AX31" s="512"/>
      <c r="AY31" s="692"/>
      <c r="AZ31" s="692">
        <f t="shared" si="51"/>
        <v>0</v>
      </c>
      <c r="BA31" s="692"/>
      <c r="BB31" s="692"/>
      <c r="BC31" s="692">
        <f t="shared" si="52"/>
        <v>0</v>
      </c>
      <c r="BD31" s="692"/>
      <c r="BE31" s="692"/>
      <c r="BF31" s="692">
        <f t="shared" si="53"/>
        <v>0</v>
      </c>
    </row>
    <row r="32" spans="1:58" s="580" customFormat="1" x14ac:dyDescent="0.25">
      <c r="A32" s="227" t="s">
        <v>105</v>
      </c>
      <c r="B32" s="227" t="s">
        <v>1530</v>
      </c>
      <c r="C32" s="510">
        <v>45352</v>
      </c>
      <c r="D32" s="519">
        <v>45716</v>
      </c>
      <c r="E32" s="690">
        <v>7500</v>
      </c>
      <c r="F32" s="691">
        <v>7500</v>
      </c>
      <c r="G32" s="692">
        <v>1250</v>
      </c>
      <c r="H32" s="692"/>
      <c r="I32" s="692">
        <f>$F$32/12</f>
        <v>625</v>
      </c>
      <c r="J32" s="692">
        <f t="shared" si="14"/>
        <v>625</v>
      </c>
      <c r="K32" s="692"/>
      <c r="L32" s="692">
        <f>$F$32/12</f>
        <v>625</v>
      </c>
      <c r="M32" s="692">
        <f t="shared" si="15"/>
        <v>0</v>
      </c>
      <c r="N32" s="692">
        <v>7500</v>
      </c>
      <c r="O32" s="692">
        <f>$F$32/12</f>
        <v>625</v>
      </c>
      <c r="P32" s="692">
        <f t="shared" si="16"/>
        <v>6875</v>
      </c>
      <c r="Q32" s="692"/>
      <c r="R32" s="692">
        <f>$F$32/12</f>
        <v>625</v>
      </c>
      <c r="S32" s="692">
        <f t="shared" si="17"/>
        <v>6250</v>
      </c>
      <c r="T32" s="692"/>
      <c r="U32" s="692">
        <f>$F$32/12</f>
        <v>625</v>
      </c>
      <c r="V32" s="692">
        <f t="shared" si="18"/>
        <v>5625</v>
      </c>
      <c r="W32" s="692"/>
      <c r="X32" s="692">
        <f>$F$32/12</f>
        <v>625</v>
      </c>
      <c r="Y32" s="692">
        <f t="shared" si="19"/>
        <v>5000</v>
      </c>
      <c r="Z32" s="692"/>
      <c r="AA32" s="692">
        <f>$F$32/12</f>
        <v>625</v>
      </c>
      <c r="AB32" s="692">
        <f t="shared" si="20"/>
        <v>4375</v>
      </c>
      <c r="AC32" s="692"/>
      <c r="AD32" s="692">
        <f>$F$32/12</f>
        <v>625</v>
      </c>
      <c r="AE32" s="692">
        <f t="shared" si="21"/>
        <v>3750</v>
      </c>
      <c r="AF32" s="692"/>
      <c r="AG32" s="692">
        <f t="shared" ref="AG32:AV32" si="57">$F$32/12</f>
        <v>625</v>
      </c>
      <c r="AH32" s="692">
        <f>AE32+AF32-AG32</f>
        <v>3125</v>
      </c>
      <c r="AI32" s="692"/>
      <c r="AJ32" s="692">
        <f t="shared" si="57"/>
        <v>625</v>
      </c>
      <c r="AK32" s="692">
        <f t="shared" si="24"/>
        <v>2500</v>
      </c>
      <c r="AL32" s="692"/>
      <c r="AM32" s="692">
        <f t="shared" si="57"/>
        <v>625</v>
      </c>
      <c r="AN32" s="692">
        <f t="shared" si="25"/>
        <v>1875</v>
      </c>
      <c r="AO32" s="692"/>
      <c r="AP32" s="692">
        <f t="shared" si="57"/>
        <v>625</v>
      </c>
      <c r="AQ32" s="692">
        <f t="shared" si="26"/>
        <v>1250</v>
      </c>
      <c r="AR32" s="692"/>
      <c r="AS32" s="692">
        <f t="shared" si="57"/>
        <v>625</v>
      </c>
      <c r="AT32" s="692">
        <f t="shared" si="27"/>
        <v>625</v>
      </c>
      <c r="AU32" s="692"/>
      <c r="AV32" s="692">
        <f t="shared" si="57"/>
        <v>625</v>
      </c>
      <c r="AW32" s="692">
        <f t="shared" si="49"/>
        <v>0</v>
      </c>
      <c r="AX32" s="512">
        <v>7500</v>
      </c>
      <c r="AY32" s="692">
        <f t="shared" ref="AY32" si="58">$F$32/12</f>
        <v>625</v>
      </c>
      <c r="AZ32" s="692">
        <f t="shared" si="51"/>
        <v>6875</v>
      </c>
      <c r="BA32" s="692"/>
      <c r="BB32" s="692">
        <v>625</v>
      </c>
      <c r="BC32" s="692">
        <f t="shared" si="52"/>
        <v>6250</v>
      </c>
      <c r="BD32" s="692"/>
      <c r="BE32" s="692">
        <v>625</v>
      </c>
      <c r="BF32" s="692">
        <f t="shared" si="53"/>
        <v>5625</v>
      </c>
    </row>
    <row r="33" spans="1:58" s="580" customFormat="1" x14ac:dyDescent="0.25">
      <c r="A33" s="227" t="s">
        <v>925</v>
      </c>
      <c r="B33" s="227" t="s">
        <v>1666</v>
      </c>
      <c r="C33" s="510">
        <v>45413</v>
      </c>
      <c r="D33" s="510">
        <v>45777</v>
      </c>
      <c r="E33" s="690">
        <v>15000</v>
      </c>
      <c r="F33" s="691">
        <f>15000-3500</f>
        <v>11500</v>
      </c>
      <c r="G33" s="692"/>
      <c r="H33" s="692"/>
      <c r="I33" s="692"/>
      <c r="J33" s="692"/>
      <c r="K33" s="692"/>
      <c r="L33" s="692"/>
      <c r="M33" s="692"/>
      <c r="N33" s="692"/>
      <c r="O33" s="692"/>
      <c r="P33" s="692"/>
      <c r="Q33" s="692"/>
      <c r="R33" s="692"/>
      <c r="S33" s="692"/>
      <c r="T33" s="692">
        <v>11500</v>
      </c>
      <c r="U33" s="692">
        <f>$F$33/12</f>
        <v>958.33333333333337</v>
      </c>
      <c r="V33" s="692">
        <f t="shared" si="18"/>
        <v>10541.666666666666</v>
      </c>
      <c r="W33" s="692"/>
      <c r="X33" s="692">
        <f>$F$33/12</f>
        <v>958.33333333333337</v>
      </c>
      <c r="Y33" s="692">
        <f t="shared" si="19"/>
        <v>9583.3333333333321</v>
      </c>
      <c r="Z33" s="692"/>
      <c r="AA33" s="692">
        <f>$F$33/12</f>
        <v>958.33333333333337</v>
      </c>
      <c r="AB33" s="692">
        <f t="shared" si="20"/>
        <v>8624.9999999999982</v>
      </c>
      <c r="AC33" s="692"/>
      <c r="AD33" s="692">
        <f>$F$33/12</f>
        <v>958.33333333333337</v>
      </c>
      <c r="AE33" s="692">
        <f t="shared" si="21"/>
        <v>7666.6666666666652</v>
      </c>
      <c r="AF33" s="692"/>
      <c r="AG33" s="692">
        <f t="shared" ref="AG33:AV33" si="59">$F$33/12</f>
        <v>958.33333333333337</v>
      </c>
      <c r="AH33" s="692">
        <f t="shared" si="23"/>
        <v>6708.3333333333321</v>
      </c>
      <c r="AI33" s="692"/>
      <c r="AJ33" s="692">
        <f t="shared" si="59"/>
        <v>958.33333333333337</v>
      </c>
      <c r="AK33" s="692">
        <f t="shared" si="24"/>
        <v>5749.9999999999991</v>
      </c>
      <c r="AL33" s="692"/>
      <c r="AM33" s="692">
        <f t="shared" si="59"/>
        <v>958.33333333333337</v>
      </c>
      <c r="AN33" s="692">
        <f t="shared" si="25"/>
        <v>4791.6666666666661</v>
      </c>
      <c r="AO33" s="692"/>
      <c r="AP33" s="692">
        <f t="shared" si="59"/>
        <v>958.33333333333337</v>
      </c>
      <c r="AQ33" s="692">
        <f t="shared" si="26"/>
        <v>3833.3333333333326</v>
      </c>
      <c r="AR33" s="692"/>
      <c r="AS33" s="692">
        <f t="shared" si="59"/>
        <v>958.33333333333337</v>
      </c>
      <c r="AT33" s="692">
        <f t="shared" si="27"/>
        <v>2874.9999999999991</v>
      </c>
      <c r="AU33" s="692"/>
      <c r="AV33" s="692">
        <f t="shared" si="59"/>
        <v>958.33333333333337</v>
      </c>
      <c r="AW33" s="692">
        <f t="shared" si="49"/>
        <v>1916.6666666666656</v>
      </c>
      <c r="AX33" s="512"/>
      <c r="AY33" s="692">
        <f>ROUND($F$33/12,2)</f>
        <v>958.33</v>
      </c>
      <c r="AZ33" s="692">
        <f>ROUND(AW33+AX33-AY33,2)</f>
        <v>958.34</v>
      </c>
      <c r="BA33" s="692"/>
      <c r="BB33" s="692">
        <f>$F$33/12+0.01</f>
        <v>958.34333333333336</v>
      </c>
      <c r="BC33" s="692">
        <f>AZ33+BA33-BB33</f>
        <v>-3.3333333333303017E-3</v>
      </c>
      <c r="BD33" s="692">
        <v>11500</v>
      </c>
      <c r="BE33" s="692">
        <f>ROUND($F$33/12,2)</f>
        <v>958.33</v>
      </c>
      <c r="BF33" s="692">
        <f t="shared" si="53"/>
        <v>10541.666666666666</v>
      </c>
    </row>
    <row r="34" spans="1:58" s="580" customFormat="1" x14ac:dyDescent="0.25">
      <c r="A34" s="509" t="s">
        <v>174</v>
      </c>
      <c r="B34" s="509" t="s">
        <v>1531</v>
      </c>
      <c r="C34" s="689">
        <v>45292</v>
      </c>
      <c r="D34" s="689">
        <v>45657</v>
      </c>
      <c r="E34" s="697">
        <v>7500</v>
      </c>
      <c r="F34" s="691">
        <v>7500</v>
      </c>
      <c r="G34" s="692">
        <v>0</v>
      </c>
      <c r="H34" s="692">
        <v>7500</v>
      </c>
      <c r="I34" s="692">
        <f>$F$34/12</f>
        <v>625</v>
      </c>
      <c r="J34" s="692">
        <f t="shared" ref="J34:J51" si="60">G34+H34-I34</f>
        <v>6875</v>
      </c>
      <c r="K34" s="692"/>
      <c r="L34" s="692">
        <f>$F$34/12</f>
        <v>625</v>
      </c>
      <c r="M34" s="692">
        <f t="shared" ref="M34:M51" si="61">J34+K34-L34</f>
        <v>6250</v>
      </c>
      <c r="N34" s="693"/>
      <c r="O34" s="692">
        <f>$F$34/12</f>
        <v>625</v>
      </c>
      <c r="P34" s="692">
        <f t="shared" ref="P34:P51" si="62">M34+N34-O34</f>
        <v>5625</v>
      </c>
      <c r="Q34" s="692"/>
      <c r="R34" s="692">
        <f>$F$34/12</f>
        <v>625</v>
      </c>
      <c r="S34" s="692">
        <f t="shared" ref="S34:S51" si="63">P34+Q34-R34</f>
        <v>5000</v>
      </c>
      <c r="T34" s="692"/>
      <c r="U34" s="692">
        <f>$F$34/12</f>
        <v>625</v>
      </c>
      <c r="V34" s="692">
        <f t="shared" si="18"/>
        <v>4375</v>
      </c>
      <c r="W34" s="692"/>
      <c r="X34" s="692">
        <f>$F$34/12</f>
        <v>625</v>
      </c>
      <c r="Y34" s="692">
        <f t="shared" si="19"/>
        <v>3750</v>
      </c>
      <c r="Z34" s="692"/>
      <c r="AA34" s="692">
        <f>$F$34/12</f>
        <v>625</v>
      </c>
      <c r="AB34" s="692">
        <f t="shared" si="20"/>
        <v>3125</v>
      </c>
      <c r="AC34" s="692"/>
      <c r="AD34" s="692">
        <f>$F$34/12</f>
        <v>625</v>
      </c>
      <c r="AE34" s="692">
        <f t="shared" si="21"/>
        <v>2500</v>
      </c>
      <c r="AF34" s="692"/>
      <c r="AG34" s="692">
        <f>$F$34/12</f>
        <v>625</v>
      </c>
      <c r="AH34" s="692">
        <f t="shared" si="23"/>
        <v>1875</v>
      </c>
      <c r="AI34" s="692"/>
      <c r="AJ34" s="692">
        <f>$F$34/12</f>
        <v>625</v>
      </c>
      <c r="AK34" s="692">
        <f t="shared" si="24"/>
        <v>1250</v>
      </c>
      <c r="AL34" s="692"/>
      <c r="AM34" s="692">
        <f>$F$34/12</f>
        <v>625</v>
      </c>
      <c r="AN34" s="692">
        <f t="shared" si="25"/>
        <v>625</v>
      </c>
      <c r="AO34" s="692"/>
      <c r="AP34" s="692">
        <f>$F$34/12</f>
        <v>625</v>
      </c>
      <c r="AQ34" s="692">
        <f t="shared" si="26"/>
        <v>0</v>
      </c>
      <c r="AR34" s="692">
        <v>7500</v>
      </c>
      <c r="AS34" s="692">
        <f>$F$34/12</f>
        <v>625</v>
      </c>
      <c r="AT34" s="692">
        <f t="shared" si="27"/>
        <v>6875</v>
      </c>
      <c r="AU34" s="692"/>
      <c r="AV34" s="692">
        <f>$F$34/12</f>
        <v>625</v>
      </c>
      <c r="AW34" s="692">
        <f t="shared" si="49"/>
        <v>6250</v>
      </c>
      <c r="AX34" s="512"/>
      <c r="AY34" s="692">
        <f>$F$34/12</f>
        <v>625</v>
      </c>
      <c r="AZ34" s="692">
        <f t="shared" si="51"/>
        <v>5625</v>
      </c>
      <c r="BA34" s="692"/>
      <c r="BB34" s="692">
        <f t="shared" ref="BB34:BE34" si="64">$F$34/12</f>
        <v>625</v>
      </c>
      <c r="BC34" s="692">
        <f t="shared" si="52"/>
        <v>5000</v>
      </c>
      <c r="BD34" s="692"/>
      <c r="BE34" s="692">
        <f t="shared" si="64"/>
        <v>625</v>
      </c>
      <c r="BF34" s="692">
        <f t="shared" si="53"/>
        <v>4375</v>
      </c>
    </row>
    <row r="35" spans="1:58" s="580" customFormat="1" x14ac:dyDescent="0.25">
      <c r="A35" s="509" t="s">
        <v>459</v>
      </c>
      <c r="B35" s="509" t="s">
        <v>1532</v>
      </c>
      <c r="C35" s="689">
        <v>44896</v>
      </c>
      <c r="D35" s="689">
        <v>45260</v>
      </c>
      <c r="E35" s="697">
        <v>7500</v>
      </c>
      <c r="F35" s="691">
        <v>7500</v>
      </c>
      <c r="G35" s="692">
        <v>6875</v>
      </c>
      <c r="H35" s="692"/>
      <c r="I35" s="692">
        <f>$F$35/12</f>
        <v>625</v>
      </c>
      <c r="J35" s="692">
        <f t="shared" si="60"/>
        <v>6250</v>
      </c>
      <c r="K35" s="692"/>
      <c r="L35" s="692">
        <f>$F$35/12</f>
        <v>625</v>
      </c>
      <c r="M35" s="692">
        <f t="shared" si="61"/>
        <v>5625</v>
      </c>
      <c r="N35" s="693"/>
      <c r="O35" s="692">
        <f>$F$35/12</f>
        <v>625</v>
      </c>
      <c r="P35" s="692">
        <f t="shared" si="62"/>
        <v>5000</v>
      </c>
      <c r="Q35" s="692"/>
      <c r="R35" s="692">
        <f>$F$35/12</f>
        <v>625</v>
      </c>
      <c r="S35" s="692">
        <f t="shared" si="63"/>
        <v>4375</v>
      </c>
      <c r="T35" s="692"/>
      <c r="U35" s="692">
        <f>$F$35/12</f>
        <v>625</v>
      </c>
      <c r="V35" s="692">
        <f t="shared" si="18"/>
        <v>3750</v>
      </c>
      <c r="W35" s="692"/>
      <c r="X35" s="692">
        <f>$F$35/12</f>
        <v>625</v>
      </c>
      <c r="Y35" s="692">
        <f t="shared" si="19"/>
        <v>3125</v>
      </c>
      <c r="Z35" s="692"/>
      <c r="AA35" s="692">
        <f>$F$35/12</f>
        <v>625</v>
      </c>
      <c r="AB35" s="692">
        <f t="shared" si="20"/>
        <v>2500</v>
      </c>
      <c r="AC35" s="692"/>
      <c r="AD35" s="692">
        <f>$F$35/12</f>
        <v>625</v>
      </c>
      <c r="AE35" s="692">
        <f t="shared" si="21"/>
        <v>1875</v>
      </c>
      <c r="AF35" s="692"/>
      <c r="AG35" s="692">
        <f>$F$35/12</f>
        <v>625</v>
      </c>
      <c r="AH35" s="692">
        <f t="shared" si="23"/>
        <v>1250</v>
      </c>
      <c r="AI35" s="692"/>
      <c r="AJ35" s="692">
        <f>$F$35/12</f>
        <v>625</v>
      </c>
      <c r="AK35" s="692">
        <f t="shared" si="24"/>
        <v>625</v>
      </c>
      <c r="AL35" s="692"/>
      <c r="AM35" s="692">
        <f>$F$35/12</f>
        <v>625</v>
      </c>
      <c r="AN35" s="692">
        <f t="shared" si="25"/>
        <v>0</v>
      </c>
      <c r="AO35" s="692"/>
      <c r="AP35" s="693"/>
      <c r="AQ35" s="692">
        <f t="shared" si="26"/>
        <v>0</v>
      </c>
      <c r="AR35" s="692">
        <v>7500</v>
      </c>
      <c r="AS35" s="692">
        <f>$F$35/12*2</f>
        <v>1250</v>
      </c>
      <c r="AT35" s="692">
        <f t="shared" si="27"/>
        <v>6250</v>
      </c>
      <c r="AU35" s="692"/>
      <c r="AV35" s="692">
        <f>$F$35/12</f>
        <v>625</v>
      </c>
      <c r="AW35" s="692">
        <f t="shared" si="49"/>
        <v>5625</v>
      </c>
      <c r="AX35" s="512"/>
      <c r="AY35" s="692">
        <f>$F$35/12</f>
        <v>625</v>
      </c>
      <c r="AZ35" s="692">
        <f t="shared" si="51"/>
        <v>5000</v>
      </c>
      <c r="BA35" s="692"/>
      <c r="BB35" s="692">
        <f t="shared" ref="BB35:BE35" si="65">$F$35/12</f>
        <v>625</v>
      </c>
      <c r="BC35" s="692">
        <f t="shared" si="52"/>
        <v>4375</v>
      </c>
      <c r="BD35" s="692"/>
      <c r="BE35" s="692">
        <f t="shared" si="65"/>
        <v>625</v>
      </c>
      <c r="BF35" s="692">
        <f t="shared" si="53"/>
        <v>3750</v>
      </c>
    </row>
    <row r="36" spans="1:58" s="579" customFormat="1" x14ac:dyDescent="0.25">
      <c r="A36" s="509" t="s">
        <v>1544</v>
      </c>
      <c r="B36" s="509" t="s">
        <v>1567</v>
      </c>
      <c r="C36" s="689">
        <v>45383</v>
      </c>
      <c r="D36" s="689">
        <v>45747</v>
      </c>
      <c r="E36" s="697">
        <v>7500</v>
      </c>
      <c r="F36" s="691">
        <v>7500</v>
      </c>
      <c r="G36" s="692"/>
      <c r="H36" s="692"/>
      <c r="I36" s="692"/>
      <c r="J36" s="692"/>
      <c r="K36" s="692"/>
      <c r="L36" s="692"/>
      <c r="M36" s="692"/>
      <c r="N36" s="693"/>
      <c r="O36" s="692"/>
      <c r="P36" s="692"/>
      <c r="Q36" s="692"/>
      <c r="R36" s="692"/>
      <c r="S36" s="692"/>
      <c r="T36" s="692"/>
      <c r="U36" s="692"/>
      <c r="V36" s="692"/>
      <c r="W36" s="692"/>
      <c r="X36" s="692"/>
      <c r="Y36" s="692"/>
      <c r="Z36" s="692"/>
      <c r="AA36" s="692"/>
      <c r="AB36" s="692"/>
      <c r="AC36" s="692"/>
      <c r="AD36" s="692"/>
      <c r="AE36" s="692"/>
      <c r="AF36" s="692"/>
      <c r="AG36" s="692"/>
      <c r="AH36" s="692"/>
      <c r="AI36" s="692"/>
      <c r="AJ36" s="692"/>
      <c r="AK36" s="692"/>
      <c r="AL36" s="692"/>
      <c r="AM36" s="692"/>
      <c r="AN36" s="692"/>
      <c r="AO36" s="692"/>
      <c r="AP36" s="693"/>
      <c r="AQ36" s="692"/>
      <c r="AR36" s="692"/>
      <c r="AS36" s="692"/>
      <c r="AT36" s="692"/>
      <c r="AU36" s="692"/>
      <c r="AV36" s="692"/>
      <c r="AW36" s="692"/>
      <c r="AX36" s="512"/>
      <c r="AY36" s="692"/>
      <c r="AZ36" s="692"/>
      <c r="BA36" s="692">
        <v>7500</v>
      </c>
      <c r="BB36" s="692">
        <f>$F$36/12</f>
        <v>625</v>
      </c>
      <c r="BC36" s="692">
        <f>AZ36+BA36-BB36</f>
        <v>6875</v>
      </c>
      <c r="BD36" s="692"/>
      <c r="BE36" s="692">
        <f t="shared" ref="BE36" si="66">$F$36/12</f>
        <v>625</v>
      </c>
      <c r="BF36" s="692">
        <f>BC36+BD36-BE36</f>
        <v>6250</v>
      </c>
    </row>
    <row r="37" spans="1:58" s="579" customFormat="1" x14ac:dyDescent="0.25">
      <c r="A37" s="227" t="s">
        <v>178</v>
      </c>
      <c r="B37" s="227" t="s">
        <v>1202</v>
      </c>
      <c r="C37" s="689">
        <v>45139</v>
      </c>
      <c r="D37" s="689">
        <v>45504</v>
      </c>
      <c r="E37" s="697">
        <v>11000</v>
      </c>
      <c r="F37" s="691">
        <v>7500</v>
      </c>
      <c r="G37" s="692">
        <v>4375</v>
      </c>
      <c r="H37" s="692"/>
      <c r="I37" s="693">
        <f>$F$37/12</f>
        <v>625</v>
      </c>
      <c r="J37" s="692">
        <f t="shared" si="60"/>
        <v>3750</v>
      </c>
      <c r="K37" s="692"/>
      <c r="L37" s="693">
        <f>$F$37/12</f>
        <v>625</v>
      </c>
      <c r="M37" s="692">
        <f t="shared" si="61"/>
        <v>3125</v>
      </c>
      <c r="N37" s="693"/>
      <c r="O37" s="693">
        <f>$F$37/12</f>
        <v>625</v>
      </c>
      <c r="P37" s="692">
        <f t="shared" si="62"/>
        <v>2500</v>
      </c>
      <c r="Q37" s="692"/>
      <c r="R37" s="693">
        <f>$F$37/12</f>
        <v>625</v>
      </c>
      <c r="S37" s="692">
        <f t="shared" si="63"/>
        <v>1875</v>
      </c>
      <c r="T37" s="692"/>
      <c r="U37" s="693">
        <f>$F$37/12</f>
        <v>625</v>
      </c>
      <c r="V37" s="692">
        <f t="shared" si="18"/>
        <v>1250</v>
      </c>
      <c r="W37" s="692"/>
      <c r="X37" s="693">
        <f>$F$37/12</f>
        <v>625</v>
      </c>
      <c r="Y37" s="692">
        <f t="shared" si="19"/>
        <v>625</v>
      </c>
      <c r="Z37" s="693"/>
      <c r="AA37" s="693">
        <f>$F$37/12</f>
        <v>625</v>
      </c>
      <c r="AB37" s="692">
        <f t="shared" si="20"/>
        <v>0</v>
      </c>
      <c r="AC37" s="693">
        <v>7500</v>
      </c>
      <c r="AD37" s="693">
        <f>$F$37/12</f>
        <v>625</v>
      </c>
      <c r="AE37" s="692">
        <f t="shared" si="21"/>
        <v>6875</v>
      </c>
      <c r="AF37" s="692"/>
      <c r="AG37" s="693">
        <f t="shared" ref="AG37:BE37" si="67">$F$37/12</f>
        <v>625</v>
      </c>
      <c r="AH37" s="692">
        <f t="shared" si="23"/>
        <v>6250</v>
      </c>
      <c r="AI37" s="692"/>
      <c r="AJ37" s="693">
        <f t="shared" si="67"/>
        <v>625</v>
      </c>
      <c r="AK37" s="692">
        <f t="shared" si="24"/>
        <v>5625</v>
      </c>
      <c r="AL37" s="692"/>
      <c r="AM37" s="693">
        <f t="shared" si="67"/>
        <v>625</v>
      </c>
      <c r="AN37" s="692">
        <f t="shared" si="25"/>
        <v>5000</v>
      </c>
      <c r="AO37" s="692"/>
      <c r="AP37" s="693">
        <f t="shared" si="67"/>
        <v>625</v>
      </c>
      <c r="AQ37" s="692">
        <f t="shared" si="26"/>
        <v>4375</v>
      </c>
      <c r="AR37" s="692"/>
      <c r="AS37" s="693">
        <f t="shared" si="67"/>
        <v>625</v>
      </c>
      <c r="AT37" s="692">
        <f t="shared" si="27"/>
        <v>3750</v>
      </c>
      <c r="AU37" s="692"/>
      <c r="AV37" s="693">
        <f t="shared" si="67"/>
        <v>625</v>
      </c>
      <c r="AW37" s="692">
        <f t="shared" si="49"/>
        <v>3125</v>
      </c>
      <c r="AX37" s="512"/>
      <c r="AY37" s="693">
        <f t="shared" si="67"/>
        <v>625</v>
      </c>
      <c r="AZ37" s="692">
        <f t="shared" si="51"/>
        <v>2500</v>
      </c>
      <c r="BA37" s="692"/>
      <c r="BB37" s="693">
        <f t="shared" si="67"/>
        <v>625</v>
      </c>
      <c r="BC37" s="692">
        <f t="shared" si="52"/>
        <v>1875</v>
      </c>
      <c r="BD37" s="692"/>
      <c r="BE37" s="693">
        <f t="shared" si="67"/>
        <v>625</v>
      </c>
      <c r="BF37" s="692">
        <f t="shared" si="53"/>
        <v>1250</v>
      </c>
    </row>
    <row r="38" spans="1:58" s="579" customFormat="1" x14ac:dyDescent="0.25">
      <c r="A38" s="227" t="s">
        <v>179</v>
      </c>
      <c r="B38" s="227" t="s">
        <v>1533</v>
      </c>
      <c r="C38" s="689">
        <v>45292</v>
      </c>
      <c r="D38" s="689">
        <v>38352</v>
      </c>
      <c r="E38" s="516">
        <v>100000</v>
      </c>
      <c r="F38" s="691">
        <v>100000</v>
      </c>
      <c r="G38" s="692">
        <v>-6.3664629124104977E-12</v>
      </c>
      <c r="H38" s="520">
        <v>25000</v>
      </c>
      <c r="I38" s="698">
        <v>2083.3333333333335</v>
      </c>
      <c r="J38" s="692">
        <f t="shared" si="60"/>
        <v>22916.666666666661</v>
      </c>
      <c r="K38" s="692"/>
      <c r="L38" s="698">
        <v>2083.3333333333335</v>
      </c>
      <c r="M38" s="692">
        <f t="shared" si="61"/>
        <v>20833.333333333328</v>
      </c>
      <c r="N38" s="696"/>
      <c r="O38" s="698">
        <v>2083.3333333333335</v>
      </c>
      <c r="P38" s="692">
        <f t="shared" si="62"/>
        <v>18749.999999999996</v>
      </c>
      <c r="Q38" s="692"/>
      <c r="R38" s="698">
        <v>2083.3333333333335</v>
      </c>
      <c r="S38" s="692">
        <f t="shared" si="63"/>
        <v>16666.666666666664</v>
      </c>
      <c r="T38" s="692"/>
      <c r="U38" s="698">
        <v>2083.3333333333335</v>
      </c>
      <c r="V38" s="692">
        <f t="shared" si="18"/>
        <v>14583.33333333333</v>
      </c>
      <c r="W38" s="692"/>
      <c r="X38" s="698">
        <v>2083.3333333333335</v>
      </c>
      <c r="Y38" s="692">
        <f t="shared" si="19"/>
        <v>12499.999999999996</v>
      </c>
      <c r="Z38" s="698"/>
      <c r="AA38" s="698">
        <v>2083.3333333333335</v>
      </c>
      <c r="AB38" s="692">
        <f t="shared" si="20"/>
        <v>10416.666666666662</v>
      </c>
      <c r="AC38" s="698"/>
      <c r="AD38" s="698">
        <v>2083.3333333333335</v>
      </c>
      <c r="AE38" s="692">
        <f>AB38+AC38-AD38</f>
        <v>8333.3333333333285</v>
      </c>
      <c r="AF38" s="692"/>
      <c r="AG38" s="698">
        <v>2083.3333333333335</v>
      </c>
      <c r="AH38" s="692">
        <f t="shared" si="23"/>
        <v>6249.9999999999945</v>
      </c>
      <c r="AI38" s="692"/>
      <c r="AJ38" s="698">
        <v>2083.3333333333335</v>
      </c>
      <c r="AK38" s="692">
        <f t="shared" si="24"/>
        <v>4166.6666666666606</v>
      </c>
      <c r="AL38" s="692"/>
      <c r="AM38" s="698">
        <v>2083.3333333333335</v>
      </c>
      <c r="AN38" s="692">
        <f t="shared" si="25"/>
        <v>2083.3333333333271</v>
      </c>
      <c r="AO38" s="692"/>
      <c r="AP38" s="698">
        <v>2083.3366666666575</v>
      </c>
      <c r="AQ38" s="692">
        <f t="shared" si="26"/>
        <v>-3.3333333303744439E-3</v>
      </c>
      <c r="AR38" s="692">
        <v>100000</v>
      </c>
      <c r="AS38" s="698">
        <f>$F$38/12</f>
        <v>8333.3333333333339</v>
      </c>
      <c r="AT38" s="692">
        <f t="shared" si="27"/>
        <v>91666.663333333345</v>
      </c>
      <c r="AU38" s="692"/>
      <c r="AV38" s="698">
        <f>$F$38/12</f>
        <v>8333.3333333333339</v>
      </c>
      <c r="AW38" s="692">
        <f t="shared" si="49"/>
        <v>83333.330000000016</v>
      </c>
      <c r="AX38" s="512"/>
      <c r="AY38" s="698">
        <f>$F$38/12</f>
        <v>8333.3333333333339</v>
      </c>
      <c r="AZ38" s="692">
        <f t="shared" si="51"/>
        <v>74999.996666666688</v>
      </c>
      <c r="BA38" s="692"/>
      <c r="BB38" s="698">
        <f>$F$38/12</f>
        <v>8333.3333333333339</v>
      </c>
      <c r="BC38" s="692">
        <f t="shared" si="52"/>
        <v>66666.663333333359</v>
      </c>
      <c r="BD38" s="692"/>
      <c r="BE38" s="698">
        <f>ROUND($F$38/12,2)</f>
        <v>8333.33</v>
      </c>
      <c r="BF38" s="692">
        <f t="shared" si="53"/>
        <v>58333.333333333358</v>
      </c>
    </row>
    <row r="39" spans="1:58" s="579" customFormat="1" x14ac:dyDescent="0.25">
      <c r="A39" s="227" t="s">
        <v>1196</v>
      </c>
      <c r="B39" s="227" t="s">
        <v>1352</v>
      </c>
      <c r="C39" s="689">
        <v>45292</v>
      </c>
      <c r="D39" s="689">
        <v>45657</v>
      </c>
      <c r="E39" s="516">
        <v>15000</v>
      </c>
      <c r="F39" s="691">
        <v>11500</v>
      </c>
      <c r="G39" s="692"/>
      <c r="H39" s="520"/>
      <c r="I39" s="698"/>
      <c r="J39" s="692"/>
      <c r="K39" s="692"/>
      <c r="L39" s="698"/>
      <c r="M39" s="692"/>
      <c r="N39" s="696"/>
      <c r="O39" s="698"/>
      <c r="P39" s="692"/>
      <c r="Q39" s="692"/>
      <c r="R39" s="698"/>
      <c r="S39" s="692"/>
      <c r="T39" s="692"/>
      <c r="U39" s="698"/>
      <c r="V39" s="692"/>
      <c r="W39" s="692"/>
      <c r="X39" s="698"/>
      <c r="Y39" s="692"/>
      <c r="Z39" s="698"/>
      <c r="AA39" s="698"/>
      <c r="AB39" s="692"/>
      <c r="AC39" s="698"/>
      <c r="AD39" s="698"/>
      <c r="AE39" s="692"/>
      <c r="AF39" s="692"/>
      <c r="AG39" s="698"/>
      <c r="AH39" s="692"/>
      <c r="AI39" s="692"/>
      <c r="AJ39" s="698"/>
      <c r="AK39" s="692"/>
      <c r="AL39" s="692"/>
      <c r="AM39" s="698"/>
      <c r="AN39" s="692"/>
      <c r="AO39" s="692"/>
      <c r="AP39" s="698"/>
      <c r="AQ39" s="692">
        <f t="shared" si="26"/>
        <v>0</v>
      </c>
      <c r="AR39" s="692">
        <v>11500</v>
      </c>
      <c r="AS39" s="698">
        <f>ROUND($F$44/12,2)</f>
        <v>958.33</v>
      </c>
      <c r="AT39" s="692">
        <f t="shared" si="27"/>
        <v>10541.67</v>
      </c>
      <c r="AU39" s="692"/>
      <c r="AV39" s="698">
        <f>ROUND($F$44/12,2)</f>
        <v>958.33</v>
      </c>
      <c r="AW39" s="692">
        <f t="shared" si="49"/>
        <v>9583.34</v>
      </c>
      <c r="AX39" s="512"/>
      <c r="AY39" s="698">
        <f>ROUND($F$44/12,2)</f>
        <v>958.33</v>
      </c>
      <c r="AZ39" s="692">
        <f t="shared" si="51"/>
        <v>8625.01</v>
      </c>
      <c r="BA39" s="692"/>
      <c r="BB39" s="698">
        <f t="shared" ref="BB39:BE39" si="68">ROUND($F$44/12,2)</f>
        <v>958.33</v>
      </c>
      <c r="BC39" s="692">
        <f t="shared" si="52"/>
        <v>7666.68</v>
      </c>
      <c r="BD39" s="692"/>
      <c r="BE39" s="698">
        <f t="shared" si="68"/>
        <v>958.33</v>
      </c>
      <c r="BF39" s="692">
        <f t="shared" si="53"/>
        <v>6708.35</v>
      </c>
    </row>
    <row r="40" spans="1:58" s="579" customFormat="1" x14ac:dyDescent="0.25">
      <c r="A40" s="514" t="s">
        <v>546</v>
      </c>
      <c r="B40" s="514" t="s">
        <v>1667</v>
      </c>
      <c r="C40" s="510">
        <v>45427</v>
      </c>
      <c r="D40" s="510">
        <v>45791</v>
      </c>
      <c r="E40" s="516">
        <v>7500</v>
      </c>
      <c r="F40" s="516">
        <v>7500</v>
      </c>
      <c r="G40" s="520">
        <v>1250</v>
      </c>
      <c r="H40" s="520"/>
      <c r="I40" s="520">
        <v>625</v>
      </c>
      <c r="J40" s="520">
        <v>625</v>
      </c>
      <c r="K40" s="520"/>
      <c r="L40" s="520">
        <v>625</v>
      </c>
      <c r="M40" s="520">
        <v>0</v>
      </c>
      <c r="N40" s="520">
        <v>7500</v>
      </c>
      <c r="O40" s="520">
        <v>625</v>
      </c>
      <c r="P40" s="520">
        <v>6875</v>
      </c>
      <c r="Q40" s="520"/>
      <c r="R40" s="520">
        <v>625</v>
      </c>
      <c r="S40" s="520">
        <v>6250</v>
      </c>
      <c r="T40" s="520"/>
      <c r="U40" s="520">
        <v>625</v>
      </c>
      <c r="V40" s="520">
        <v>5625</v>
      </c>
      <c r="W40" s="520"/>
      <c r="X40" s="520">
        <v>625</v>
      </c>
      <c r="Y40" s="520">
        <v>5000</v>
      </c>
      <c r="Z40" s="520"/>
      <c r="AA40" s="520">
        <v>625</v>
      </c>
      <c r="AB40" s="520">
        <v>4375</v>
      </c>
      <c r="AC40" s="520"/>
      <c r="AD40" s="520">
        <v>625</v>
      </c>
      <c r="AE40" s="520">
        <v>3750</v>
      </c>
      <c r="AF40" s="520"/>
      <c r="AG40" s="520">
        <v>625</v>
      </c>
      <c r="AH40" s="520">
        <v>3125</v>
      </c>
      <c r="AI40" s="520"/>
      <c r="AJ40" s="520">
        <v>625</v>
      </c>
      <c r="AK40" s="520">
        <v>2500</v>
      </c>
      <c r="AL40" s="520"/>
      <c r="AM40" s="520">
        <v>625</v>
      </c>
      <c r="AN40" s="520">
        <v>1875</v>
      </c>
      <c r="AO40" s="520"/>
      <c r="AP40" s="520">
        <v>625</v>
      </c>
      <c r="AQ40" s="520">
        <v>1250</v>
      </c>
      <c r="AR40" s="520"/>
      <c r="AS40" s="520">
        <v>625</v>
      </c>
      <c r="AT40" s="520">
        <f t="shared" si="27"/>
        <v>625</v>
      </c>
      <c r="AU40" s="520"/>
      <c r="AV40" s="520">
        <v>625</v>
      </c>
      <c r="AW40" s="520">
        <f t="shared" si="49"/>
        <v>0</v>
      </c>
      <c r="AX40" s="520"/>
      <c r="AY40" s="699"/>
      <c r="AZ40" s="520">
        <f t="shared" si="51"/>
        <v>0</v>
      </c>
      <c r="BA40" s="520"/>
      <c r="BB40" s="699"/>
      <c r="BC40" s="520">
        <f t="shared" si="52"/>
        <v>0</v>
      </c>
      <c r="BD40" s="520">
        <v>7500</v>
      </c>
      <c r="BE40" s="699"/>
      <c r="BF40" s="520">
        <f t="shared" si="53"/>
        <v>7500</v>
      </c>
    </row>
    <row r="41" spans="1:58" s="579" customFormat="1" x14ac:dyDescent="0.25">
      <c r="A41" s="227" t="s">
        <v>1453</v>
      </c>
      <c r="B41" s="227" t="s">
        <v>1493</v>
      </c>
      <c r="C41" s="689">
        <v>45352</v>
      </c>
      <c r="D41" s="689">
        <v>45716</v>
      </c>
      <c r="E41" s="516">
        <v>7500</v>
      </c>
      <c r="F41" s="691">
        <v>7500</v>
      </c>
      <c r="G41" s="692"/>
      <c r="H41" s="692"/>
      <c r="I41" s="692"/>
      <c r="J41" s="692"/>
      <c r="K41" s="692"/>
      <c r="L41" s="692"/>
      <c r="M41" s="692"/>
      <c r="N41" s="692"/>
      <c r="O41" s="692"/>
      <c r="P41" s="692"/>
      <c r="Q41" s="692"/>
      <c r="R41" s="692"/>
      <c r="S41" s="692"/>
      <c r="T41" s="692"/>
      <c r="U41" s="692"/>
      <c r="V41" s="692"/>
      <c r="W41" s="692"/>
      <c r="X41" s="692"/>
      <c r="Y41" s="692"/>
      <c r="Z41" s="692"/>
      <c r="AA41" s="692"/>
      <c r="AB41" s="692"/>
      <c r="AC41" s="692"/>
      <c r="AD41" s="692"/>
      <c r="AE41" s="692"/>
      <c r="AF41" s="692"/>
      <c r="AG41" s="692"/>
      <c r="AH41" s="692"/>
      <c r="AI41" s="692"/>
      <c r="AJ41" s="692"/>
      <c r="AK41" s="692"/>
      <c r="AL41" s="692"/>
      <c r="AM41" s="692"/>
      <c r="AN41" s="692"/>
      <c r="AO41" s="692"/>
      <c r="AP41" s="692"/>
      <c r="AQ41" s="692"/>
      <c r="AR41" s="692"/>
      <c r="AS41" s="692"/>
      <c r="AT41" s="692">
        <f t="shared" si="27"/>
        <v>0</v>
      </c>
      <c r="AU41" s="692"/>
      <c r="AV41" s="692"/>
      <c r="AW41" s="692">
        <f t="shared" si="49"/>
        <v>0</v>
      </c>
      <c r="AX41" s="512">
        <v>7500</v>
      </c>
      <c r="AY41" s="521">
        <f>$F$41/12</f>
        <v>625</v>
      </c>
      <c r="AZ41" s="692">
        <f>AW41+AX41-AY41</f>
        <v>6875</v>
      </c>
      <c r="BA41" s="692"/>
      <c r="BB41" s="700">
        <f t="shared" ref="BB41:BE41" si="69">$F$41/12</f>
        <v>625</v>
      </c>
      <c r="BC41" s="692">
        <f>AZ41+BA41-BB41</f>
        <v>6250</v>
      </c>
      <c r="BD41" s="692"/>
      <c r="BE41" s="700">
        <f t="shared" si="69"/>
        <v>625</v>
      </c>
      <c r="BF41" s="692">
        <f>BC41+BD41-BE41</f>
        <v>5625</v>
      </c>
    </row>
    <row r="42" spans="1:58" s="579" customFormat="1" x14ac:dyDescent="0.25">
      <c r="A42" s="227" t="s">
        <v>1454</v>
      </c>
      <c r="B42" s="227" t="s">
        <v>1478</v>
      </c>
      <c r="C42" s="689">
        <v>45352</v>
      </c>
      <c r="D42" s="689">
        <v>45716</v>
      </c>
      <c r="E42" s="511">
        <v>25000</v>
      </c>
      <c r="F42" s="691">
        <v>25000</v>
      </c>
      <c r="G42" s="692"/>
      <c r="H42" s="692"/>
      <c r="I42" s="692"/>
      <c r="J42" s="692"/>
      <c r="K42" s="692"/>
      <c r="L42" s="692"/>
      <c r="M42" s="692"/>
      <c r="N42" s="692"/>
      <c r="O42" s="692"/>
      <c r="P42" s="692"/>
      <c r="Q42" s="692"/>
      <c r="R42" s="692"/>
      <c r="S42" s="692"/>
      <c r="T42" s="692"/>
      <c r="U42" s="692"/>
      <c r="V42" s="692"/>
      <c r="W42" s="692"/>
      <c r="X42" s="692"/>
      <c r="Y42" s="692"/>
      <c r="Z42" s="692"/>
      <c r="AA42" s="692"/>
      <c r="AB42" s="692"/>
      <c r="AC42" s="692"/>
      <c r="AD42" s="692"/>
      <c r="AE42" s="692"/>
      <c r="AF42" s="692"/>
      <c r="AG42" s="692"/>
      <c r="AH42" s="692"/>
      <c r="AI42" s="692"/>
      <c r="AJ42" s="692"/>
      <c r="AK42" s="692"/>
      <c r="AL42" s="692"/>
      <c r="AM42" s="692"/>
      <c r="AN42" s="692"/>
      <c r="AO42" s="692"/>
      <c r="AP42" s="692"/>
      <c r="AQ42" s="692"/>
      <c r="AR42" s="692"/>
      <c r="AS42" s="692"/>
      <c r="AT42" s="692">
        <f t="shared" si="27"/>
        <v>0</v>
      </c>
      <c r="AU42" s="692"/>
      <c r="AV42" s="692"/>
      <c r="AW42" s="692">
        <f t="shared" si="49"/>
        <v>0</v>
      </c>
      <c r="AX42" s="512">
        <v>25000</v>
      </c>
      <c r="AY42" s="521">
        <f>$F$42/12</f>
        <v>2083.3333333333335</v>
      </c>
      <c r="AZ42" s="692">
        <f>AW42+AX42-AY42</f>
        <v>22916.666666666668</v>
      </c>
      <c r="BA42" s="692"/>
      <c r="BB42" s="521">
        <f>$F$42/12</f>
        <v>2083.3333333333335</v>
      </c>
      <c r="BC42" s="692">
        <f>AZ42+BA42-BB42</f>
        <v>20833.333333333336</v>
      </c>
      <c r="BD42" s="692"/>
      <c r="BE42" s="521">
        <f t="shared" ref="BE42" si="70">$F$42/12</f>
        <v>2083.3333333333335</v>
      </c>
      <c r="BF42" s="692">
        <f>BC42+BD42-BE42</f>
        <v>18750.000000000004</v>
      </c>
    </row>
    <row r="43" spans="1:58" s="579" customFormat="1" x14ac:dyDescent="0.25">
      <c r="A43" s="227" t="s">
        <v>1455</v>
      </c>
      <c r="B43" s="227" t="s">
        <v>1494</v>
      </c>
      <c r="C43" s="689">
        <v>45366</v>
      </c>
      <c r="D43" s="689">
        <v>45730</v>
      </c>
      <c r="E43" s="511">
        <v>7500</v>
      </c>
      <c r="F43" s="691">
        <v>7500</v>
      </c>
      <c r="G43" s="692"/>
      <c r="H43" s="692"/>
      <c r="I43" s="692"/>
      <c r="J43" s="692"/>
      <c r="K43" s="692"/>
      <c r="L43" s="692"/>
      <c r="M43" s="692"/>
      <c r="N43" s="692"/>
      <c r="O43" s="692"/>
      <c r="P43" s="692"/>
      <c r="Q43" s="692"/>
      <c r="R43" s="692"/>
      <c r="S43" s="692"/>
      <c r="T43" s="692"/>
      <c r="U43" s="692"/>
      <c r="V43" s="692"/>
      <c r="W43" s="692"/>
      <c r="X43" s="692"/>
      <c r="Y43" s="692"/>
      <c r="Z43" s="692"/>
      <c r="AA43" s="692"/>
      <c r="AB43" s="692"/>
      <c r="AC43" s="692"/>
      <c r="AD43" s="692"/>
      <c r="AE43" s="692"/>
      <c r="AF43" s="692"/>
      <c r="AG43" s="692"/>
      <c r="AH43" s="692"/>
      <c r="AI43" s="692"/>
      <c r="AJ43" s="692"/>
      <c r="AK43" s="692"/>
      <c r="AL43" s="692"/>
      <c r="AM43" s="692"/>
      <c r="AN43" s="692"/>
      <c r="AO43" s="692"/>
      <c r="AP43" s="692"/>
      <c r="AQ43" s="692"/>
      <c r="AR43" s="692"/>
      <c r="AS43" s="692"/>
      <c r="AT43" s="692">
        <f t="shared" si="27"/>
        <v>0</v>
      </c>
      <c r="AU43" s="692"/>
      <c r="AV43" s="692"/>
      <c r="AW43" s="692">
        <f t="shared" si="49"/>
        <v>0</v>
      </c>
      <c r="AX43" s="512">
        <v>7500</v>
      </c>
      <c r="AY43" s="521">
        <f>$F$43/12</f>
        <v>625</v>
      </c>
      <c r="AZ43" s="692">
        <f>AW43+AX43-AY43</f>
        <v>6875</v>
      </c>
      <c r="BA43" s="692"/>
      <c r="BB43" s="521">
        <f t="shared" ref="BB43:BE43" si="71">$F$43/12</f>
        <v>625</v>
      </c>
      <c r="BC43" s="692">
        <f>AZ43+BA43-BB43</f>
        <v>6250</v>
      </c>
      <c r="BD43" s="692"/>
      <c r="BE43" s="521">
        <f t="shared" si="71"/>
        <v>625</v>
      </c>
      <c r="BF43" s="692">
        <f>BC43+BD43-BE43</f>
        <v>5625</v>
      </c>
    </row>
    <row r="44" spans="1:58" s="579" customFormat="1" x14ac:dyDescent="0.25">
      <c r="A44" s="227" t="s">
        <v>458</v>
      </c>
      <c r="B44" s="227" t="s">
        <v>1534</v>
      </c>
      <c r="C44" s="689">
        <v>45231</v>
      </c>
      <c r="D44" s="689">
        <v>45596</v>
      </c>
      <c r="E44" s="511">
        <v>15000</v>
      </c>
      <c r="F44" s="691">
        <v>11500</v>
      </c>
      <c r="G44" s="692">
        <v>8333.34</v>
      </c>
      <c r="H44" s="692"/>
      <c r="I44" s="692">
        <v>833.33</v>
      </c>
      <c r="J44" s="692">
        <f t="shared" si="60"/>
        <v>7500.01</v>
      </c>
      <c r="K44" s="692"/>
      <c r="L44" s="692">
        <v>833.33</v>
      </c>
      <c r="M44" s="692">
        <f t="shared" si="61"/>
        <v>6666.68</v>
      </c>
      <c r="N44" s="692"/>
      <c r="O44" s="692">
        <v>833.33</v>
      </c>
      <c r="P44" s="692">
        <f>M44+N44-O44</f>
        <v>5833.35</v>
      </c>
      <c r="Q44" s="692"/>
      <c r="R44" s="692">
        <v>833.33</v>
      </c>
      <c r="S44" s="692">
        <f t="shared" si="63"/>
        <v>5000.0200000000004</v>
      </c>
      <c r="T44" s="692"/>
      <c r="U44" s="692">
        <v>833.33</v>
      </c>
      <c r="V44" s="692">
        <f t="shared" si="18"/>
        <v>4166.6900000000005</v>
      </c>
      <c r="W44" s="692"/>
      <c r="X44" s="692">
        <v>833.33</v>
      </c>
      <c r="Y44" s="692">
        <f t="shared" si="19"/>
        <v>3333.3600000000006</v>
      </c>
      <c r="Z44" s="692"/>
      <c r="AA44" s="692">
        <v>833.33</v>
      </c>
      <c r="AB44" s="692">
        <f t="shared" si="20"/>
        <v>2500.0300000000007</v>
      </c>
      <c r="AC44" s="692"/>
      <c r="AD44" s="692">
        <v>833.33</v>
      </c>
      <c r="AE44" s="692">
        <f t="shared" si="21"/>
        <v>1666.7000000000007</v>
      </c>
      <c r="AF44" s="692"/>
      <c r="AG44" s="692">
        <v>833.33</v>
      </c>
      <c r="AH44" s="692">
        <f t="shared" si="23"/>
        <v>833.37000000000069</v>
      </c>
      <c r="AI44" s="692"/>
      <c r="AJ44" s="692">
        <v>833.37</v>
      </c>
      <c r="AK44" s="692">
        <f t="shared" si="24"/>
        <v>0</v>
      </c>
      <c r="AL44" s="692">
        <v>11500</v>
      </c>
      <c r="AM44" s="698">
        <f>ROUND($F$44/12,2)</f>
        <v>958.33</v>
      </c>
      <c r="AN44" s="692">
        <f t="shared" si="25"/>
        <v>10541.67</v>
      </c>
      <c r="AO44" s="692">
        <v>0</v>
      </c>
      <c r="AP44" s="698">
        <f>ROUND($F$44/12,2)</f>
        <v>958.33</v>
      </c>
      <c r="AQ44" s="692">
        <f t="shared" si="26"/>
        <v>9583.34</v>
      </c>
      <c r="AR44" s="692"/>
      <c r="AS44" s="698">
        <f>ROUND($F$44/12,2)</f>
        <v>958.33</v>
      </c>
      <c r="AT44" s="692">
        <f t="shared" si="27"/>
        <v>8625.01</v>
      </c>
      <c r="AU44" s="692"/>
      <c r="AV44" s="698">
        <f>ROUND($F$44/12,2)</f>
        <v>958.33</v>
      </c>
      <c r="AW44" s="692">
        <f t="shared" si="49"/>
        <v>7666.68</v>
      </c>
      <c r="AX44" s="512"/>
      <c r="AY44" s="698">
        <f>ROUND($F$44/12,2)</f>
        <v>958.33</v>
      </c>
      <c r="AZ44" s="692">
        <f t="shared" ref="AZ44:AZ52" si="72">AW44+AX44-AY44</f>
        <v>6708.35</v>
      </c>
      <c r="BA44" s="692"/>
      <c r="BB44" s="698">
        <f t="shared" ref="BB44:BE44" si="73">ROUND($F$44/12,2)</f>
        <v>958.33</v>
      </c>
      <c r="BC44" s="692">
        <f t="shared" ref="BC44:BC52" si="74">AZ44+BA44-BB44</f>
        <v>5750.02</v>
      </c>
      <c r="BD44" s="692"/>
      <c r="BE44" s="698">
        <f t="shared" si="73"/>
        <v>958.33</v>
      </c>
      <c r="BF44" s="692">
        <f t="shared" ref="BF44:BF52" si="75">BC44+BD44-BE44</f>
        <v>4791.6900000000005</v>
      </c>
    </row>
    <row r="45" spans="1:58" s="579" customFormat="1" x14ac:dyDescent="0.25">
      <c r="A45" s="227" t="s">
        <v>1100</v>
      </c>
      <c r="B45" s="227" t="s">
        <v>1240</v>
      </c>
      <c r="C45" s="689">
        <v>45170</v>
      </c>
      <c r="D45" s="689">
        <v>45535</v>
      </c>
      <c r="E45" s="690">
        <v>7500</v>
      </c>
      <c r="F45" s="691">
        <v>7500</v>
      </c>
      <c r="G45" s="692">
        <v>5000</v>
      </c>
      <c r="H45" s="692"/>
      <c r="I45" s="692">
        <f>$F$45/12</f>
        <v>625</v>
      </c>
      <c r="J45" s="692">
        <f t="shared" si="60"/>
        <v>4375</v>
      </c>
      <c r="K45" s="692"/>
      <c r="L45" s="692">
        <f>$F$45/12</f>
        <v>625</v>
      </c>
      <c r="M45" s="692">
        <f t="shared" si="61"/>
        <v>3750</v>
      </c>
      <c r="N45" s="692"/>
      <c r="O45" s="692">
        <f>$F$45/12</f>
        <v>625</v>
      </c>
      <c r="P45" s="692">
        <f t="shared" si="62"/>
        <v>3125</v>
      </c>
      <c r="Q45" s="692"/>
      <c r="R45" s="692">
        <f>$F$45/12</f>
        <v>625</v>
      </c>
      <c r="S45" s="692">
        <f t="shared" si="63"/>
        <v>2500</v>
      </c>
      <c r="T45" s="692"/>
      <c r="U45" s="692">
        <f>$F$45/12</f>
        <v>625</v>
      </c>
      <c r="V45" s="692">
        <f t="shared" si="18"/>
        <v>1875</v>
      </c>
      <c r="W45" s="692"/>
      <c r="X45" s="692">
        <f>$F$45/12</f>
        <v>625</v>
      </c>
      <c r="Y45" s="692">
        <f t="shared" si="19"/>
        <v>1250</v>
      </c>
      <c r="Z45" s="692"/>
      <c r="AA45" s="692">
        <f>$F$45/12</f>
        <v>625</v>
      </c>
      <c r="AB45" s="692">
        <f t="shared" si="20"/>
        <v>625</v>
      </c>
      <c r="AC45" s="692"/>
      <c r="AD45" s="692">
        <f>$F$45/12</f>
        <v>625</v>
      </c>
      <c r="AE45" s="692">
        <f t="shared" si="21"/>
        <v>0</v>
      </c>
      <c r="AF45" s="692">
        <v>7500</v>
      </c>
      <c r="AG45" s="522">
        <f>7500/12</f>
        <v>625</v>
      </c>
      <c r="AH45" s="692">
        <f t="shared" si="23"/>
        <v>6875</v>
      </c>
      <c r="AI45" s="692"/>
      <c r="AJ45" s="522">
        <f t="shared" ref="AJ45:BE45" si="76">7500/12</f>
        <v>625</v>
      </c>
      <c r="AK45" s="692">
        <f t="shared" si="24"/>
        <v>6250</v>
      </c>
      <c r="AL45" s="692"/>
      <c r="AM45" s="522">
        <f t="shared" si="76"/>
        <v>625</v>
      </c>
      <c r="AN45" s="692">
        <f t="shared" si="25"/>
        <v>5625</v>
      </c>
      <c r="AO45" s="692"/>
      <c r="AP45" s="522">
        <f t="shared" si="76"/>
        <v>625</v>
      </c>
      <c r="AQ45" s="692">
        <f t="shared" si="26"/>
        <v>5000</v>
      </c>
      <c r="AR45" s="692"/>
      <c r="AS45" s="522">
        <f t="shared" si="76"/>
        <v>625</v>
      </c>
      <c r="AT45" s="692">
        <f t="shared" si="27"/>
        <v>4375</v>
      </c>
      <c r="AU45" s="692"/>
      <c r="AV45" s="522">
        <f t="shared" si="76"/>
        <v>625</v>
      </c>
      <c r="AW45" s="692">
        <f t="shared" si="49"/>
        <v>3750</v>
      </c>
      <c r="AX45" s="512"/>
      <c r="AY45" s="522">
        <f t="shared" si="76"/>
        <v>625</v>
      </c>
      <c r="AZ45" s="692">
        <f t="shared" si="72"/>
        <v>3125</v>
      </c>
      <c r="BA45" s="692"/>
      <c r="BB45" s="522">
        <f t="shared" si="76"/>
        <v>625</v>
      </c>
      <c r="BC45" s="692">
        <f t="shared" si="74"/>
        <v>2500</v>
      </c>
      <c r="BD45" s="692"/>
      <c r="BE45" s="522">
        <f t="shared" si="76"/>
        <v>625</v>
      </c>
      <c r="BF45" s="692">
        <f t="shared" si="75"/>
        <v>1875</v>
      </c>
    </row>
    <row r="46" spans="1:58" s="579" customFormat="1" x14ac:dyDescent="0.25">
      <c r="A46" s="227" t="s">
        <v>186</v>
      </c>
      <c r="B46" s="227" t="s">
        <v>1101</v>
      </c>
      <c r="C46" s="689">
        <v>44743</v>
      </c>
      <c r="D46" s="689">
        <v>45107</v>
      </c>
      <c r="E46" s="690">
        <v>7500</v>
      </c>
      <c r="F46" s="691">
        <f>E46</f>
        <v>7500</v>
      </c>
      <c r="G46" s="692">
        <v>3750</v>
      </c>
      <c r="H46" s="692"/>
      <c r="I46" s="692">
        <f>$F$46/12</f>
        <v>625</v>
      </c>
      <c r="J46" s="692">
        <f t="shared" si="60"/>
        <v>3125</v>
      </c>
      <c r="K46" s="692"/>
      <c r="L46" s="692">
        <f>$F$46/12</f>
        <v>625</v>
      </c>
      <c r="M46" s="692">
        <f t="shared" si="61"/>
        <v>2500</v>
      </c>
      <c r="N46" s="692"/>
      <c r="O46" s="692">
        <f>$F$46/12</f>
        <v>625</v>
      </c>
      <c r="P46" s="692">
        <f t="shared" si="62"/>
        <v>1875</v>
      </c>
      <c r="Q46" s="692"/>
      <c r="R46" s="692">
        <f>$F$46/12</f>
        <v>625</v>
      </c>
      <c r="S46" s="692">
        <f t="shared" si="63"/>
        <v>1250</v>
      </c>
      <c r="T46" s="692"/>
      <c r="U46" s="692">
        <f>$F$46/12</f>
        <v>625</v>
      </c>
      <c r="V46" s="692">
        <f t="shared" si="18"/>
        <v>625</v>
      </c>
      <c r="W46" s="692"/>
      <c r="X46" s="692">
        <f>$F$46/12</f>
        <v>625</v>
      </c>
      <c r="Y46" s="692">
        <f t="shared" si="19"/>
        <v>0</v>
      </c>
      <c r="Z46" s="692"/>
      <c r="AA46" s="692"/>
      <c r="AB46" s="692">
        <f t="shared" si="20"/>
        <v>0</v>
      </c>
      <c r="AC46" s="692"/>
      <c r="AD46" s="692"/>
      <c r="AE46" s="692">
        <f t="shared" si="21"/>
        <v>0</v>
      </c>
      <c r="AF46" s="692"/>
      <c r="AG46" s="692"/>
      <c r="AH46" s="692">
        <f t="shared" si="23"/>
        <v>0</v>
      </c>
      <c r="AI46" s="692"/>
      <c r="AJ46" s="692"/>
      <c r="AK46" s="692">
        <f t="shared" si="24"/>
        <v>0</v>
      </c>
      <c r="AL46" s="692"/>
      <c r="AM46" s="692"/>
      <c r="AN46" s="692">
        <f t="shared" si="25"/>
        <v>0</v>
      </c>
      <c r="AO46" s="692"/>
      <c r="AP46" s="692"/>
      <c r="AQ46" s="692">
        <f t="shared" si="26"/>
        <v>0</v>
      </c>
      <c r="AR46" s="692"/>
      <c r="AS46" s="692"/>
      <c r="AT46" s="692">
        <f t="shared" si="27"/>
        <v>0</v>
      </c>
      <c r="AU46" s="692"/>
      <c r="AV46" s="692"/>
      <c r="AW46" s="692">
        <f t="shared" si="49"/>
        <v>0</v>
      </c>
      <c r="AX46" s="512"/>
      <c r="AY46" s="692"/>
      <c r="AZ46" s="692">
        <f t="shared" si="72"/>
        <v>0</v>
      </c>
      <c r="BA46" s="692"/>
      <c r="BB46" s="692"/>
      <c r="BC46" s="692">
        <f t="shared" si="74"/>
        <v>0</v>
      </c>
      <c r="BD46" s="692"/>
      <c r="BE46" s="692"/>
      <c r="BF46" s="692">
        <f t="shared" si="75"/>
        <v>0</v>
      </c>
    </row>
    <row r="47" spans="1:58" s="579" customFormat="1" x14ac:dyDescent="0.25">
      <c r="A47" s="227" t="s">
        <v>1102</v>
      </c>
      <c r="B47" s="227" t="s">
        <v>1103</v>
      </c>
      <c r="C47" s="689">
        <v>45031</v>
      </c>
      <c r="D47" s="689">
        <v>45396</v>
      </c>
      <c r="E47" s="690">
        <v>5000</v>
      </c>
      <c r="F47" s="691">
        <v>5000</v>
      </c>
      <c r="G47" s="692"/>
      <c r="H47" s="692"/>
      <c r="I47" s="692"/>
      <c r="J47" s="692">
        <f t="shared" si="60"/>
        <v>0</v>
      </c>
      <c r="K47" s="692"/>
      <c r="L47" s="692"/>
      <c r="M47" s="692">
        <f t="shared" si="61"/>
        <v>0</v>
      </c>
      <c r="N47" s="692"/>
      <c r="O47" s="692"/>
      <c r="P47" s="692">
        <f t="shared" si="62"/>
        <v>0</v>
      </c>
      <c r="Q47" s="692">
        <v>5000</v>
      </c>
      <c r="R47" s="692"/>
      <c r="S47" s="692">
        <f t="shared" si="63"/>
        <v>5000</v>
      </c>
      <c r="T47" s="692"/>
      <c r="U47" s="692">
        <f>ROUND($F$47/12,2)</f>
        <v>416.67</v>
      </c>
      <c r="V47" s="692">
        <f t="shared" si="18"/>
        <v>4583.33</v>
      </c>
      <c r="W47" s="692"/>
      <c r="X47" s="692">
        <f>ROUND($F$47/12,2)</f>
        <v>416.67</v>
      </c>
      <c r="Y47" s="692">
        <f t="shared" si="19"/>
        <v>4166.66</v>
      </c>
      <c r="Z47" s="692"/>
      <c r="AA47" s="692">
        <f>ROUND($F$47/12,2)</f>
        <v>416.67</v>
      </c>
      <c r="AB47" s="692">
        <f t="shared" si="20"/>
        <v>3749.99</v>
      </c>
      <c r="AC47" s="692"/>
      <c r="AD47" s="692">
        <f>ROUND($F$47/12,2)</f>
        <v>416.67</v>
      </c>
      <c r="AE47" s="692">
        <f t="shared" si="21"/>
        <v>3333.3199999999997</v>
      </c>
      <c r="AF47" s="692"/>
      <c r="AG47" s="692">
        <f t="shared" ref="AG47:AY47" si="77">ROUND($F$47/12,2)</f>
        <v>416.67</v>
      </c>
      <c r="AH47" s="692">
        <f t="shared" si="23"/>
        <v>2916.6499999999996</v>
      </c>
      <c r="AI47" s="692"/>
      <c r="AJ47" s="692">
        <f t="shared" si="77"/>
        <v>416.67</v>
      </c>
      <c r="AK47" s="692">
        <f t="shared" si="24"/>
        <v>2499.9799999999996</v>
      </c>
      <c r="AL47" s="692"/>
      <c r="AM47" s="692">
        <f t="shared" si="77"/>
        <v>416.67</v>
      </c>
      <c r="AN47" s="692">
        <f t="shared" si="25"/>
        <v>2083.3099999999995</v>
      </c>
      <c r="AO47" s="692"/>
      <c r="AP47" s="692">
        <f t="shared" si="77"/>
        <v>416.67</v>
      </c>
      <c r="AQ47" s="692">
        <f t="shared" si="26"/>
        <v>1666.6399999999994</v>
      </c>
      <c r="AR47" s="692"/>
      <c r="AS47" s="692">
        <f t="shared" si="77"/>
        <v>416.67</v>
      </c>
      <c r="AT47" s="692">
        <f t="shared" si="27"/>
        <v>1249.9699999999993</v>
      </c>
      <c r="AU47" s="692"/>
      <c r="AV47" s="692">
        <f t="shared" si="77"/>
        <v>416.67</v>
      </c>
      <c r="AW47" s="692">
        <f t="shared" si="49"/>
        <v>833.29999999999927</v>
      </c>
      <c r="AX47" s="512"/>
      <c r="AY47" s="692">
        <f t="shared" si="77"/>
        <v>416.67</v>
      </c>
      <c r="AZ47" s="692">
        <f t="shared" si="72"/>
        <v>416.62999999999926</v>
      </c>
      <c r="BA47" s="692"/>
      <c r="BB47" s="692">
        <f>ROUND($F$47/12,2)-0.04</f>
        <v>416.63</v>
      </c>
      <c r="BC47" s="692">
        <f t="shared" si="74"/>
        <v>-7.3896444519050419E-13</v>
      </c>
      <c r="BD47" s="692"/>
      <c r="BE47" s="692"/>
      <c r="BF47" s="692">
        <f t="shared" si="75"/>
        <v>-7.3896444519050419E-13</v>
      </c>
    </row>
    <row r="48" spans="1:58" s="579" customFormat="1" x14ac:dyDescent="0.25">
      <c r="A48" s="227" t="s">
        <v>794</v>
      </c>
      <c r="B48" s="227" t="s">
        <v>795</v>
      </c>
      <c r="C48" s="510">
        <v>44621</v>
      </c>
      <c r="D48" s="510">
        <v>44985</v>
      </c>
      <c r="E48" s="511">
        <v>11000</v>
      </c>
      <c r="F48" s="691">
        <v>7500</v>
      </c>
      <c r="G48" s="692">
        <v>1250</v>
      </c>
      <c r="H48" s="692"/>
      <c r="I48" s="692">
        <f>$F$48/12</f>
        <v>625</v>
      </c>
      <c r="J48" s="692">
        <f t="shared" si="60"/>
        <v>625</v>
      </c>
      <c r="K48" s="692"/>
      <c r="L48" s="692">
        <f>$F$48/12</f>
        <v>625</v>
      </c>
      <c r="M48" s="692">
        <f t="shared" si="61"/>
        <v>0</v>
      </c>
      <c r="N48" s="692"/>
      <c r="O48" s="692"/>
      <c r="P48" s="692">
        <f t="shared" si="62"/>
        <v>0</v>
      </c>
      <c r="Q48" s="692"/>
      <c r="R48" s="692"/>
      <c r="S48" s="692">
        <f t="shared" si="63"/>
        <v>0</v>
      </c>
      <c r="T48" s="692"/>
      <c r="U48" s="692"/>
      <c r="V48" s="692">
        <f t="shared" si="18"/>
        <v>0</v>
      </c>
      <c r="W48" s="692"/>
      <c r="X48" s="692"/>
      <c r="Y48" s="692">
        <f t="shared" si="19"/>
        <v>0</v>
      </c>
      <c r="Z48" s="692"/>
      <c r="AA48" s="692"/>
      <c r="AB48" s="692">
        <f t="shared" si="20"/>
        <v>0</v>
      </c>
      <c r="AC48" s="692"/>
      <c r="AD48" s="692"/>
      <c r="AE48" s="692">
        <f t="shared" si="21"/>
        <v>0</v>
      </c>
      <c r="AF48" s="692"/>
      <c r="AG48" s="692"/>
      <c r="AH48" s="692">
        <f t="shared" si="23"/>
        <v>0</v>
      </c>
      <c r="AI48" s="692"/>
      <c r="AJ48" s="692"/>
      <c r="AK48" s="692">
        <f t="shared" si="24"/>
        <v>0</v>
      </c>
      <c r="AL48" s="692"/>
      <c r="AM48" s="692"/>
      <c r="AN48" s="692">
        <f t="shared" si="25"/>
        <v>0</v>
      </c>
      <c r="AO48" s="692"/>
      <c r="AP48" s="692"/>
      <c r="AQ48" s="692">
        <f t="shared" si="26"/>
        <v>0</v>
      </c>
      <c r="AR48" s="692"/>
      <c r="AS48" s="692"/>
      <c r="AT48" s="692">
        <f t="shared" si="27"/>
        <v>0</v>
      </c>
      <c r="AU48" s="692"/>
      <c r="AV48" s="692"/>
      <c r="AW48" s="692">
        <f t="shared" si="49"/>
        <v>0</v>
      </c>
      <c r="AX48" s="512"/>
      <c r="AY48" s="692"/>
      <c r="AZ48" s="692">
        <f t="shared" si="72"/>
        <v>0</v>
      </c>
      <c r="BA48" s="692"/>
      <c r="BB48" s="692"/>
      <c r="BC48" s="692">
        <f t="shared" si="74"/>
        <v>0</v>
      </c>
      <c r="BD48" s="692"/>
      <c r="BE48" s="692"/>
      <c r="BF48" s="692">
        <f t="shared" si="75"/>
        <v>0</v>
      </c>
    </row>
    <row r="49" spans="1:58" s="579" customFormat="1" x14ac:dyDescent="0.25">
      <c r="A49" s="227" t="s">
        <v>472</v>
      </c>
      <c r="B49" s="227" t="s">
        <v>1347</v>
      </c>
      <c r="C49" s="510">
        <v>45261</v>
      </c>
      <c r="D49" s="510">
        <v>45626</v>
      </c>
      <c r="E49" s="511">
        <v>7500</v>
      </c>
      <c r="F49" s="691">
        <v>7500</v>
      </c>
      <c r="G49" s="692">
        <v>6875</v>
      </c>
      <c r="H49" s="692"/>
      <c r="I49" s="692">
        <f>$F$49/12</f>
        <v>625</v>
      </c>
      <c r="J49" s="692">
        <f t="shared" si="60"/>
        <v>6250</v>
      </c>
      <c r="K49" s="692"/>
      <c r="L49" s="692">
        <f>$F$49/12</f>
        <v>625</v>
      </c>
      <c r="M49" s="692">
        <f t="shared" si="61"/>
        <v>5625</v>
      </c>
      <c r="N49" s="692"/>
      <c r="O49" s="692">
        <f>$F$49/12</f>
        <v>625</v>
      </c>
      <c r="P49" s="692">
        <f t="shared" si="62"/>
        <v>5000</v>
      </c>
      <c r="Q49" s="692"/>
      <c r="R49" s="692">
        <f>$F$49/12</f>
        <v>625</v>
      </c>
      <c r="S49" s="692">
        <f t="shared" si="63"/>
        <v>4375</v>
      </c>
      <c r="T49" s="692"/>
      <c r="U49" s="692">
        <f>$F$49/12</f>
        <v>625</v>
      </c>
      <c r="V49" s="692">
        <f t="shared" si="18"/>
        <v>3750</v>
      </c>
      <c r="W49" s="692"/>
      <c r="X49" s="692">
        <f>$F$49/12</f>
        <v>625</v>
      </c>
      <c r="Y49" s="692">
        <f t="shared" si="19"/>
        <v>3125</v>
      </c>
      <c r="Z49" s="692"/>
      <c r="AA49" s="692">
        <f>$F$49/12</f>
        <v>625</v>
      </c>
      <c r="AB49" s="692">
        <f t="shared" si="20"/>
        <v>2500</v>
      </c>
      <c r="AC49" s="692"/>
      <c r="AD49" s="692">
        <f>$F$49/12</f>
        <v>625</v>
      </c>
      <c r="AE49" s="692">
        <f t="shared" si="21"/>
        <v>1875</v>
      </c>
      <c r="AF49" s="692"/>
      <c r="AG49" s="692">
        <f>$F$49/12</f>
        <v>625</v>
      </c>
      <c r="AH49" s="692">
        <f t="shared" si="23"/>
        <v>1250</v>
      </c>
      <c r="AI49" s="692"/>
      <c r="AJ49" s="692">
        <f>$F$49/12</f>
        <v>625</v>
      </c>
      <c r="AK49" s="692">
        <f t="shared" si="24"/>
        <v>625</v>
      </c>
      <c r="AL49" s="692"/>
      <c r="AM49" s="692">
        <f>$F$49/12</f>
        <v>625</v>
      </c>
      <c r="AN49" s="692">
        <f t="shared" si="25"/>
        <v>0</v>
      </c>
      <c r="AO49" s="517">
        <v>7500</v>
      </c>
      <c r="AP49" s="692">
        <f>$F$49/12</f>
        <v>625</v>
      </c>
      <c r="AQ49" s="692">
        <f t="shared" si="26"/>
        <v>6875</v>
      </c>
      <c r="AR49" s="692"/>
      <c r="AS49" s="692">
        <f t="shared" ref="AS49:BE49" si="78">$F$49/12</f>
        <v>625</v>
      </c>
      <c r="AT49" s="692">
        <f t="shared" si="27"/>
        <v>6250</v>
      </c>
      <c r="AU49" s="692"/>
      <c r="AV49" s="692">
        <f t="shared" si="78"/>
        <v>625</v>
      </c>
      <c r="AW49" s="692">
        <f t="shared" si="49"/>
        <v>5625</v>
      </c>
      <c r="AX49" s="692"/>
      <c r="AY49" s="692">
        <f t="shared" si="78"/>
        <v>625</v>
      </c>
      <c r="AZ49" s="692">
        <f t="shared" si="72"/>
        <v>5000</v>
      </c>
      <c r="BA49" s="692"/>
      <c r="BB49" s="692">
        <f t="shared" si="78"/>
        <v>625</v>
      </c>
      <c r="BC49" s="692">
        <f t="shared" si="74"/>
        <v>4375</v>
      </c>
      <c r="BD49" s="692"/>
      <c r="BE49" s="692">
        <f t="shared" si="78"/>
        <v>625</v>
      </c>
      <c r="BF49" s="692">
        <f t="shared" si="75"/>
        <v>3750</v>
      </c>
    </row>
    <row r="50" spans="1:58" s="579" customFormat="1" x14ac:dyDescent="0.25">
      <c r="A50" s="227" t="s">
        <v>742</v>
      </c>
      <c r="B50" s="227" t="s">
        <v>1348</v>
      </c>
      <c r="C50" s="510">
        <v>45261</v>
      </c>
      <c r="D50" s="510">
        <v>45626</v>
      </c>
      <c r="E50" s="511">
        <v>15000</v>
      </c>
      <c r="F50" s="691">
        <v>11500</v>
      </c>
      <c r="G50" s="692">
        <v>10541.67</v>
      </c>
      <c r="H50" s="692"/>
      <c r="I50" s="692">
        <f>ROUND($F$50/12,2)</f>
        <v>958.33</v>
      </c>
      <c r="J50" s="692">
        <f t="shared" si="60"/>
        <v>9583.34</v>
      </c>
      <c r="K50" s="692"/>
      <c r="L50" s="692">
        <f>ROUND($F$50/12,2)</f>
        <v>958.33</v>
      </c>
      <c r="M50" s="692">
        <f t="shared" si="61"/>
        <v>8625.01</v>
      </c>
      <c r="N50" s="692"/>
      <c r="O50" s="692">
        <f>ROUND($F$50/12,2)</f>
        <v>958.33</v>
      </c>
      <c r="P50" s="692">
        <f t="shared" si="62"/>
        <v>7666.68</v>
      </c>
      <c r="Q50" s="692"/>
      <c r="R50" s="692">
        <f>ROUND($F$50/12,2)</f>
        <v>958.33</v>
      </c>
      <c r="S50" s="692">
        <f t="shared" si="63"/>
        <v>6708.35</v>
      </c>
      <c r="T50" s="692"/>
      <c r="U50" s="692">
        <f>ROUND($F$50/12,2)</f>
        <v>958.33</v>
      </c>
      <c r="V50" s="692">
        <f t="shared" si="18"/>
        <v>5750.02</v>
      </c>
      <c r="W50" s="692"/>
      <c r="X50" s="692">
        <f>ROUND($F$50/12,2)</f>
        <v>958.33</v>
      </c>
      <c r="Y50" s="692">
        <f t="shared" si="19"/>
        <v>4791.6900000000005</v>
      </c>
      <c r="Z50" s="692"/>
      <c r="AA50" s="692">
        <f>ROUND($F$50/12,2)</f>
        <v>958.33</v>
      </c>
      <c r="AB50" s="692">
        <f t="shared" si="20"/>
        <v>3833.3600000000006</v>
      </c>
      <c r="AC50" s="692"/>
      <c r="AD50" s="692">
        <f>ROUND($F$50/12,2)</f>
        <v>958.33</v>
      </c>
      <c r="AE50" s="692">
        <f t="shared" si="21"/>
        <v>2875.0300000000007</v>
      </c>
      <c r="AF50" s="692"/>
      <c r="AG50" s="692">
        <f>ROUND($F$50/12,2)</f>
        <v>958.33</v>
      </c>
      <c r="AH50" s="692">
        <f t="shared" si="23"/>
        <v>1916.7000000000007</v>
      </c>
      <c r="AI50" s="692"/>
      <c r="AJ50" s="692">
        <f>ROUND($F$50/12,2)</f>
        <v>958.33</v>
      </c>
      <c r="AK50" s="692">
        <f t="shared" si="24"/>
        <v>958.37000000000069</v>
      </c>
      <c r="AL50" s="692"/>
      <c r="AM50" s="692">
        <f>ROUND($F$50/12,2)+0.04</f>
        <v>958.37</v>
      </c>
      <c r="AN50" s="692">
        <f t="shared" si="25"/>
        <v>0</v>
      </c>
      <c r="AO50" s="517">
        <v>11500</v>
      </c>
      <c r="AP50" s="692">
        <f>ROUND($F$50/12,2)</f>
        <v>958.33</v>
      </c>
      <c r="AQ50" s="692">
        <f t="shared" si="26"/>
        <v>10541.67</v>
      </c>
      <c r="AR50" s="692"/>
      <c r="AS50" s="692">
        <f t="shared" ref="AS50:BE50" si="79">ROUND($F$50/12,2)</f>
        <v>958.33</v>
      </c>
      <c r="AT50" s="692">
        <f t="shared" si="27"/>
        <v>9583.34</v>
      </c>
      <c r="AU50" s="692"/>
      <c r="AV50" s="692">
        <f t="shared" si="79"/>
        <v>958.33</v>
      </c>
      <c r="AW50" s="692">
        <f t="shared" si="49"/>
        <v>8625.01</v>
      </c>
      <c r="AX50" s="692"/>
      <c r="AY50" s="692">
        <f t="shared" si="79"/>
        <v>958.33</v>
      </c>
      <c r="AZ50" s="692">
        <f t="shared" si="72"/>
        <v>7666.68</v>
      </c>
      <c r="BA50" s="692"/>
      <c r="BB50" s="692">
        <f t="shared" si="79"/>
        <v>958.33</v>
      </c>
      <c r="BC50" s="692">
        <f t="shared" si="74"/>
        <v>6708.35</v>
      </c>
      <c r="BD50" s="692"/>
      <c r="BE50" s="692">
        <f t="shared" si="79"/>
        <v>958.33</v>
      </c>
      <c r="BF50" s="692">
        <f t="shared" si="75"/>
        <v>5750.02</v>
      </c>
    </row>
    <row r="51" spans="1:58" s="579" customFormat="1" x14ac:dyDescent="0.25">
      <c r="A51" s="227" t="s">
        <v>960</v>
      </c>
      <c r="B51" s="227" t="s">
        <v>964</v>
      </c>
      <c r="C51" s="510">
        <v>44896</v>
      </c>
      <c r="D51" s="510">
        <v>45260</v>
      </c>
      <c r="E51" s="511">
        <v>7500</v>
      </c>
      <c r="F51" s="691">
        <v>7500</v>
      </c>
      <c r="G51" s="692">
        <v>6875</v>
      </c>
      <c r="H51" s="692"/>
      <c r="I51" s="692">
        <f>ROUND($F$51/12,2)</f>
        <v>625</v>
      </c>
      <c r="J51" s="692">
        <f t="shared" si="60"/>
        <v>6250</v>
      </c>
      <c r="K51" s="692"/>
      <c r="L51" s="692">
        <f>ROUND($F$51/12,2)</f>
        <v>625</v>
      </c>
      <c r="M51" s="692">
        <f t="shared" si="61"/>
        <v>5625</v>
      </c>
      <c r="N51" s="692"/>
      <c r="O51" s="692">
        <f>ROUND($F$51/12,2)</f>
        <v>625</v>
      </c>
      <c r="P51" s="692">
        <f t="shared" si="62"/>
        <v>5000</v>
      </c>
      <c r="Q51" s="692"/>
      <c r="R51" s="692">
        <f>ROUND($F$51/12,2)</f>
        <v>625</v>
      </c>
      <c r="S51" s="692">
        <f t="shared" si="63"/>
        <v>4375</v>
      </c>
      <c r="T51" s="692"/>
      <c r="U51" s="692">
        <f>ROUND($F$51/12,2)</f>
        <v>625</v>
      </c>
      <c r="V51" s="692">
        <f t="shared" si="18"/>
        <v>3750</v>
      </c>
      <c r="W51" s="692"/>
      <c r="X51" s="692">
        <f>ROUND($F$51/12,2)</f>
        <v>625</v>
      </c>
      <c r="Y51" s="692">
        <f t="shared" si="19"/>
        <v>3125</v>
      </c>
      <c r="Z51" s="692"/>
      <c r="AA51" s="692">
        <f>ROUND($F$51/12,2)</f>
        <v>625</v>
      </c>
      <c r="AB51" s="692">
        <f t="shared" si="20"/>
        <v>2500</v>
      </c>
      <c r="AC51" s="692"/>
      <c r="AD51" s="692">
        <f>ROUND($F$51/12,2)</f>
        <v>625</v>
      </c>
      <c r="AE51" s="692">
        <f t="shared" si="21"/>
        <v>1875</v>
      </c>
      <c r="AF51" s="692"/>
      <c r="AG51" s="692">
        <f>ROUND($F$51/12,2)</f>
        <v>625</v>
      </c>
      <c r="AH51" s="692">
        <f t="shared" si="23"/>
        <v>1250</v>
      </c>
      <c r="AI51" s="692"/>
      <c r="AJ51" s="692">
        <f>ROUND($F$51/12,2)</f>
        <v>625</v>
      </c>
      <c r="AK51" s="692">
        <f t="shared" si="24"/>
        <v>625</v>
      </c>
      <c r="AL51" s="692"/>
      <c r="AM51" s="692">
        <f>ROUND($F$51/12,2)</f>
        <v>625</v>
      </c>
      <c r="AN51" s="692">
        <f t="shared" si="25"/>
        <v>0</v>
      </c>
      <c r="AO51" s="517">
        <v>7500</v>
      </c>
      <c r="AP51" s="692">
        <f>ROUND($F$51/12,2)</f>
        <v>625</v>
      </c>
      <c r="AQ51" s="692">
        <f t="shared" si="26"/>
        <v>6875</v>
      </c>
      <c r="AR51" s="692"/>
      <c r="AS51" s="692">
        <f>ROUND($F$51/12,2)</f>
        <v>625</v>
      </c>
      <c r="AT51" s="692">
        <f t="shared" si="27"/>
        <v>6250</v>
      </c>
      <c r="AU51" s="692"/>
      <c r="AV51" s="692">
        <f>ROUND($F$51/12,2)</f>
        <v>625</v>
      </c>
      <c r="AW51" s="692">
        <f t="shared" si="49"/>
        <v>5625</v>
      </c>
      <c r="AX51" s="692"/>
      <c r="AY51" s="692">
        <f t="shared" ref="AY51:BE51" si="80">ROUND($F$51/12,2)</f>
        <v>625</v>
      </c>
      <c r="AZ51" s="692">
        <f t="shared" si="72"/>
        <v>5000</v>
      </c>
      <c r="BA51" s="692"/>
      <c r="BB51" s="692">
        <f t="shared" si="80"/>
        <v>625</v>
      </c>
      <c r="BC51" s="692">
        <f t="shared" si="74"/>
        <v>4375</v>
      </c>
      <c r="BD51" s="692"/>
      <c r="BE51" s="692">
        <f t="shared" si="80"/>
        <v>625</v>
      </c>
      <c r="BF51" s="692">
        <f t="shared" si="75"/>
        <v>3750</v>
      </c>
    </row>
    <row r="52" spans="1:58" s="579" customFormat="1" ht="15.75" thickBot="1" x14ac:dyDescent="0.3">
      <c r="A52" s="523" t="s">
        <v>194</v>
      </c>
      <c r="B52" s="523" t="s">
        <v>1475</v>
      </c>
      <c r="C52" s="524">
        <v>45292</v>
      </c>
      <c r="D52" s="524">
        <v>45657</v>
      </c>
      <c r="E52" s="525">
        <v>11000</v>
      </c>
      <c r="F52" s="701">
        <v>7500</v>
      </c>
      <c r="G52" s="692"/>
      <c r="H52" s="692"/>
      <c r="I52" s="692"/>
      <c r="J52" s="692"/>
      <c r="K52" s="692"/>
      <c r="L52" s="692"/>
      <c r="M52" s="692"/>
      <c r="N52" s="692"/>
      <c r="O52" s="692"/>
      <c r="P52" s="692"/>
      <c r="Q52" s="692"/>
      <c r="R52" s="692"/>
      <c r="S52" s="692"/>
      <c r="T52" s="692"/>
      <c r="U52" s="692"/>
      <c r="V52" s="692"/>
      <c r="W52" s="692"/>
      <c r="X52" s="692"/>
      <c r="Y52" s="692"/>
      <c r="Z52" s="692"/>
      <c r="AA52" s="692"/>
      <c r="AB52" s="692"/>
      <c r="AC52" s="692"/>
      <c r="AD52" s="692"/>
      <c r="AE52" s="692"/>
      <c r="AF52" s="692"/>
      <c r="AG52" s="692"/>
      <c r="AH52" s="692"/>
      <c r="AI52" s="692"/>
      <c r="AJ52" s="692"/>
      <c r="AK52" s="692"/>
      <c r="AL52" s="692"/>
      <c r="AM52" s="692"/>
      <c r="AN52" s="692"/>
      <c r="AO52" s="692"/>
      <c r="AP52" s="692"/>
      <c r="AQ52" s="692"/>
      <c r="AR52" s="692">
        <v>7500</v>
      </c>
      <c r="AS52" s="692">
        <f>$F$52/12</f>
        <v>625</v>
      </c>
      <c r="AT52" s="692">
        <f t="shared" si="27"/>
        <v>6875</v>
      </c>
      <c r="AU52" s="692"/>
      <c r="AV52" s="692">
        <f>$F$52/12</f>
        <v>625</v>
      </c>
      <c r="AW52" s="692">
        <f t="shared" si="49"/>
        <v>6250</v>
      </c>
      <c r="AX52" s="692"/>
      <c r="AY52" s="692">
        <f t="shared" ref="AY52:BE52" si="81">$F$52/12</f>
        <v>625</v>
      </c>
      <c r="AZ52" s="692">
        <f t="shared" si="72"/>
        <v>5625</v>
      </c>
      <c r="BA52" s="692"/>
      <c r="BB52" s="692">
        <f t="shared" si="81"/>
        <v>625</v>
      </c>
      <c r="BC52" s="692">
        <f t="shared" si="74"/>
        <v>5000</v>
      </c>
      <c r="BD52" s="692"/>
      <c r="BE52" s="692">
        <f t="shared" si="81"/>
        <v>625</v>
      </c>
      <c r="BF52" s="692">
        <f t="shared" si="75"/>
        <v>4375</v>
      </c>
    </row>
    <row r="53" spans="1:58" s="581" customFormat="1" ht="15.75" thickBot="1" x14ac:dyDescent="0.3">
      <c r="A53" s="526" t="s">
        <v>197</v>
      </c>
      <c r="B53" s="526"/>
      <c r="C53" s="702"/>
      <c r="D53" s="702"/>
      <c r="E53" s="703"/>
      <c r="F53" s="703"/>
      <c r="G53" s="703">
        <f t="shared" ref="G53:AP53" si="82">SUM(G4:G51)</f>
        <v>144333.39666666667</v>
      </c>
      <c r="H53" s="703">
        <f t="shared" si="82"/>
        <v>55000</v>
      </c>
      <c r="I53" s="703">
        <f t="shared" si="82"/>
        <v>27874.986666666671</v>
      </c>
      <c r="J53" s="703">
        <f t="shared" si="82"/>
        <v>171458.41</v>
      </c>
      <c r="K53" s="703">
        <f t="shared" si="82"/>
        <v>30000</v>
      </c>
      <c r="L53" s="703">
        <f t="shared" si="82"/>
        <v>27874.986666666671</v>
      </c>
      <c r="M53" s="703">
        <f t="shared" si="82"/>
        <v>173583.42333333334</v>
      </c>
      <c r="N53" s="703">
        <f t="shared" si="82"/>
        <v>22500</v>
      </c>
      <c r="O53" s="703">
        <f t="shared" si="82"/>
        <v>27250.026666666668</v>
      </c>
      <c r="P53" s="703">
        <f t="shared" si="82"/>
        <v>168833.39666666667</v>
      </c>
      <c r="Q53" s="703">
        <f t="shared" si="82"/>
        <v>31500</v>
      </c>
      <c r="R53" s="703">
        <f t="shared" si="82"/>
        <v>27249.986666666671</v>
      </c>
      <c r="S53" s="703">
        <f t="shared" si="82"/>
        <v>173083.41</v>
      </c>
      <c r="T53" s="703">
        <f t="shared" si="82"/>
        <v>11500</v>
      </c>
      <c r="U53" s="704">
        <f t="shared" si="82"/>
        <v>27999.99</v>
      </c>
      <c r="V53" s="703">
        <f t="shared" si="82"/>
        <v>156583.41999999998</v>
      </c>
      <c r="W53" s="703">
        <f t="shared" si="82"/>
        <v>0</v>
      </c>
      <c r="X53" s="703">
        <f t="shared" si="82"/>
        <v>27999.99</v>
      </c>
      <c r="Y53" s="703">
        <f t="shared" si="82"/>
        <v>128583.43</v>
      </c>
      <c r="Z53" s="703">
        <f t="shared" si="82"/>
        <v>19000</v>
      </c>
      <c r="AA53" s="703">
        <f t="shared" si="82"/>
        <v>26833.33</v>
      </c>
      <c r="AB53" s="703">
        <f t="shared" si="82"/>
        <v>120750.09999999999</v>
      </c>
      <c r="AC53" s="703">
        <f t="shared" si="82"/>
        <v>41500</v>
      </c>
      <c r="AD53" s="703">
        <f t="shared" si="82"/>
        <v>26208.32</v>
      </c>
      <c r="AE53" s="703">
        <f t="shared" si="82"/>
        <v>136041.78</v>
      </c>
      <c r="AF53" s="703">
        <f t="shared" si="82"/>
        <v>40500</v>
      </c>
      <c r="AG53" s="704">
        <f t="shared" si="82"/>
        <v>26208.36</v>
      </c>
      <c r="AH53" s="703">
        <f t="shared" si="82"/>
        <v>150333.41999999998</v>
      </c>
      <c r="AI53" s="703">
        <f t="shared" si="82"/>
        <v>0</v>
      </c>
      <c r="AJ53" s="703">
        <f t="shared" si="82"/>
        <v>25250.029999999995</v>
      </c>
      <c r="AK53" s="703">
        <f t="shared" si="82"/>
        <v>125083.38999999997</v>
      </c>
      <c r="AL53" s="703">
        <f t="shared" si="82"/>
        <v>12750</v>
      </c>
      <c r="AM53" s="703">
        <f t="shared" si="82"/>
        <v>19750.03</v>
      </c>
      <c r="AN53" s="703">
        <f t="shared" si="82"/>
        <v>118083.36</v>
      </c>
      <c r="AO53" s="703">
        <f t="shared" si="82"/>
        <v>38000</v>
      </c>
      <c r="AP53" s="704">
        <f t="shared" si="82"/>
        <v>25083.323333333326</v>
      </c>
      <c r="AQ53" s="703">
        <f t="shared" ref="AQ53:BF53" si="83">SUM(AQ4:AQ52)</f>
        <v>131000.03666666667</v>
      </c>
      <c r="AR53" s="703">
        <f t="shared" si="83"/>
        <v>149000</v>
      </c>
      <c r="AS53" s="703">
        <f t="shared" si="83"/>
        <v>34166.65</v>
      </c>
      <c r="AT53" s="703">
        <f t="shared" si="83"/>
        <v>245833.38666666669</v>
      </c>
      <c r="AU53" s="703">
        <f t="shared" si="83"/>
        <v>15000</v>
      </c>
      <c r="AV53" s="703">
        <f t="shared" si="83"/>
        <v>32291.650000000009</v>
      </c>
      <c r="AW53" s="703">
        <f t="shared" si="83"/>
        <v>228541.73666666666</v>
      </c>
      <c r="AX53" s="703">
        <f t="shared" si="83"/>
        <v>62500</v>
      </c>
      <c r="AY53" s="703">
        <f t="shared" si="83"/>
        <v>35625.020000000004</v>
      </c>
      <c r="AZ53" s="703">
        <f t="shared" si="83"/>
        <v>255416.72000000003</v>
      </c>
      <c r="BA53" s="703">
        <f t="shared" si="83"/>
        <v>34000</v>
      </c>
      <c r="BB53" s="703">
        <f t="shared" si="83"/>
        <v>36249.953333333331</v>
      </c>
      <c r="BC53" s="703">
        <f t="shared" si="83"/>
        <v>253166.76666666669</v>
      </c>
      <c r="BD53" s="703">
        <f t="shared" si="83"/>
        <v>19000</v>
      </c>
      <c r="BE53" s="703">
        <f t="shared" si="83"/>
        <v>35833.306666666671</v>
      </c>
      <c r="BF53" s="703">
        <f t="shared" si="83"/>
        <v>236333.46000000002</v>
      </c>
    </row>
  </sheetData>
  <autoFilter ref="A3:D47" xr:uid="{0A2B5639-6880-4AD9-85B4-1F6725D76DC8}"/>
  <mergeCells count="17">
    <mergeCell ref="AO2:AQ2"/>
    <mergeCell ref="BD2:BF2"/>
    <mergeCell ref="H2:J2"/>
    <mergeCell ref="K2:M2"/>
    <mergeCell ref="N2:P2"/>
    <mergeCell ref="Q2:S2"/>
    <mergeCell ref="T2:V2"/>
    <mergeCell ref="W2:Y2"/>
    <mergeCell ref="AL2:AN2"/>
    <mergeCell ref="AI2:AK2"/>
    <mergeCell ref="Z2:AB2"/>
    <mergeCell ref="AC2:AE2"/>
    <mergeCell ref="AF2:AH2"/>
    <mergeCell ref="BA2:BC2"/>
    <mergeCell ref="AX2:AZ2"/>
    <mergeCell ref="AR2:AT2"/>
    <mergeCell ref="AU2:AW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98D5-7C61-470C-96AC-FC4EB9D183EF}">
  <dimension ref="A1:O325"/>
  <sheetViews>
    <sheetView topLeftCell="A18" zoomScale="110" zoomScaleNormal="110" zoomScaleSheetLayoutView="50" workbookViewId="0">
      <selection activeCell="A37" sqref="A37"/>
    </sheetView>
  </sheetViews>
  <sheetFormatPr defaultColWidth="9.140625" defaultRowHeight="15" x14ac:dyDescent="0.25"/>
  <cols>
    <col min="1" max="1" width="37.7109375" style="101" customWidth="1"/>
    <col min="2" max="2" width="13" style="101" customWidth="1"/>
    <col min="3" max="3" width="10" style="101" customWidth="1"/>
    <col min="4" max="4" width="10.42578125" style="101" customWidth="1"/>
    <col min="5" max="5" width="10.5703125" style="195" customWidth="1"/>
    <col min="6" max="6" width="14" style="631" customWidth="1"/>
    <col min="7" max="7" width="11.28515625" style="195" customWidth="1"/>
    <col min="8" max="8" width="48" style="101" customWidth="1"/>
    <col min="9" max="9" width="6.28515625" style="101" customWidth="1"/>
    <col min="10" max="10" width="37.140625" style="101" customWidth="1"/>
    <col min="11" max="11" width="22.5703125" style="101" customWidth="1"/>
    <col min="12" max="12" width="13.85546875" style="101" customWidth="1"/>
    <col min="13" max="13" width="25.5703125" style="101" customWidth="1"/>
    <col min="14" max="14" width="21.5703125" style="101" customWidth="1"/>
    <col min="15" max="15" width="15" style="101" customWidth="1"/>
    <col min="16" max="16" width="13" style="101" customWidth="1"/>
    <col min="17" max="16384" width="9.140625" style="101"/>
  </cols>
  <sheetData>
    <row r="1" spans="1:14" ht="15.75" x14ac:dyDescent="0.25">
      <c r="A1" s="443">
        <v>2024</v>
      </c>
      <c r="B1" s="444"/>
      <c r="C1" s="444"/>
      <c r="D1" s="444"/>
      <c r="E1" s="445"/>
      <c r="F1" s="612"/>
      <c r="G1" s="445"/>
      <c r="H1" s="444"/>
    </row>
    <row r="2" spans="1:14" x14ac:dyDescent="0.25">
      <c r="A2" s="99" t="s">
        <v>1241</v>
      </c>
      <c r="B2" s="99" t="s">
        <v>199</v>
      </c>
      <c r="C2" s="99" t="s">
        <v>145</v>
      </c>
      <c r="D2" s="99" t="s">
        <v>200</v>
      </c>
      <c r="E2" s="100" t="s">
        <v>148</v>
      </c>
      <c r="F2" s="613" t="s">
        <v>146</v>
      </c>
      <c r="G2" s="100" t="s">
        <v>201</v>
      </c>
      <c r="H2" s="99" t="s">
        <v>202</v>
      </c>
      <c r="J2" s="100" t="s">
        <v>1349</v>
      </c>
      <c r="K2" s="100" t="s">
        <v>204</v>
      </c>
      <c r="L2" s="100" t="s">
        <v>1000</v>
      </c>
      <c r="M2" s="100" t="s">
        <v>1350</v>
      </c>
    </row>
    <row r="3" spans="1:14" x14ac:dyDescent="0.25">
      <c r="A3" s="102" t="s">
        <v>1482</v>
      </c>
      <c r="B3" s="103">
        <v>45292</v>
      </c>
      <c r="C3" s="103">
        <v>45657</v>
      </c>
      <c r="D3" s="104">
        <v>7500</v>
      </c>
      <c r="E3" s="110">
        <v>45292</v>
      </c>
      <c r="F3" s="465" t="s">
        <v>1483</v>
      </c>
      <c r="G3" s="110">
        <v>45420</v>
      </c>
      <c r="H3" s="527"/>
      <c r="J3" s="723" t="s">
        <v>1289</v>
      </c>
      <c r="K3" s="724"/>
      <c r="L3" s="724"/>
      <c r="M3" s="725"/>
    </row>
    <row r="4" spans="1:14" x14ac:dyDescent="0.25">
      <c r="A4" s="107" t="s">
        <v>1218</v>
      </c>
      <c r="B4" s="108">
        <v>45292</v>
      </c>
      <c r="C4" s="108">
        <v>45657</v>
      </c>
      <c r="D4" s="109">
        <v>100000</v>
      </c>
      <c r="E4" s="110">
        <v>45292</v>
      </c>
      <c r="F4" s="213" t="s">
        <v>1484</v>
      </c>
      <c r="G4" s="110">
        <v>45389</v>
      </c>
      <c r="H4" s="527"/>
      <c r="J4" s="112" t="s">
        <v>1394</v>
      </c>
      <c r="K4" s="528">
        <v>11500</v>
      </c>
      <c r="L4" s="96">
        <v>11500</v>
      </c>
      <c r="M4" s="529">
        <f t="shared" ref="M4:M10" si="0">K4-L4</f>
        <v>0</v>
      </c>
      <c r="N4" s="530" t="s">
        <v>1351</v>
      </c>
    </row>
    <row r="5" spans="1:14" x14ac:dyDescent="0.25">
      <c r="A5" s="107" t="s">
        <v>1485</v>
      </c>
      <c r="B5" s="103">
        <v>45292</v>
      </c>
      <c r="C5" s="103">
        <v>45657</v>
      </c>
      <c r="D5" s="114">
        <v>7500</v>
      </c>
      <c r="E5" s="110">
        <v>45292</v>
      </c>
      <c r="F5" s="213" t="s">
        <v>1432</v>
      </c>
      <c r="G5" s="531">
        <v>45335</v>
      </c>
      <c r="H5" s="527"/>
      <c r="J5" s="532" t="s">
        <v>194</v>
      </c>
      <c r="K5" s="528">
        <v>7500</v>
      </c>
      <c r="L5" s="96">
        <v>7500</v>
      </c>
      <c r="M5" s="529">
        <f t="shared" si="0"/>
        <v>0</v>
      </c>
      <c r="N5" s="530" t="s">
        <v>1351</v>
      </c>
    </row>
    <row r="6" spans="1:14" x14ac:dyDescent="0.25">
      <c r="A6" s="107" t="s">
        <v>763</v>
      </c>
      <c r="B6" s="108">
        <v>45292</v>
      </c>
      <c r="C6" s="108">
        <v>45657</v>
      </c>
      <c r="D6" s="114">
        <v>7500</v>
      </c>
      <c r="E6" s="110">
        <v>45292</v>
      </c>
      <c r="F6" s="481" t="s">
        <v>1433</v>
      </c>
      <c r="G6" s="110">
        <v>45322</v>
      </c>
      <c r="H6" s="164"/>
      <c r="J6" s="527" t="s">
        <v>1454</v>
      </c>
      <c r="K6" s="528">
        <v>18000</v>
      </c>
      <c r="L6" s="482">
        <f>K6*10/12</f>
        <v>15000</v>
      </c>
      <c r="M6" s="529">
        <f t="shared" si="0"/>
        <v>3000</v>
      </c>
      <c r="N6" s="530" t="s">
        <v>1486</v>
      </c>
    </row>
    <row r="7" spans="1:14" x14ac:dyDescent="0.25">
      <c r="A7" s="107" t="s">
        <v>1196</v>
      </c>
      <c r="B7" s="108">
        <v>45292</v>
      </c>
      <c r="C7" s="108">
        <v>45657</v>
      </c>
      <c r="D7" s="114">
        <v>11500</v>
      </c>
      <c r="E7" s="110">
        <v>45292</v>
      </c>
      <c r="F7" s="213" t="s">
        <v>1352</v>
      </c>
      <c r="G7" s="531">
        <v>45352</v>
      </c>
      <c r="H7" s="533"/>
      <c r="J7" s="148" t="s">
        <v>1453</v>
      </c>
      <c r="K7" s="528">
        <v>7500</v>
      </c>
      <c r="L7" s="482">
        <f>K7*10/12</f>
        <v>6250</v>
      </c>
      <c r="M7" s="529">
        <f t="shared" si="0"/>
        <v>1250</v>
      </c>
      <c r="N7" s="530" t="s">
        <v>1486</v>
      </c>
    </row>
    <row r="8" spans="1:14" ht="15.75" thickBot="1" x14ac:dyDescent="0.3">
      <c r="A8" s="173" t="s">
        <v>194</v>
      </c>
      <c r="B8" s="123">
        <v>45292</v>
      </c>
      <c r="C8" s="123">
        <v>45657</v>
      </c>
      <c r="D8" s="124">
        <v>11000</v>
      </c>
      <c r="E8" s="125">
        <v>45292</v>
      </c>
      <c r="F8" s="126" t="s">
        <v>1475</v>
      </c>
      <c r="G8" s="125">
        <v>45380</v>
      </c>
      <c r="H8" s="483"/>
      <c r="J8" s="527" t="s">
        <v>1487</v>
      </c>
      <c r="K8" s="528">
        <v>7500</v>
      </c>
      <c r="L8" s="482">
        <f>K8*10/12</f>
        <v>6250</v>
      </c>
      <c r="M8" s="529">
        <f t="shared" si="0"/>
        <v>1250</v>
      </c>
      <c r="N8" s="530" t="s">
        <v>1486</v>
      </c>
    </row>
    <row r="9" spans="1:14" x14ac:dyDescent="0.25">
      <c r="A9" s="128" t="s">
        <v>1412</v>
      </c>
      <c r="B9" s="103">
        <v>45323</v>
      </c>
      <c r="C9" s="103">
        <v>45688</v>
      </c>
      <c r="D9" s="104">
        <v>7500</v>
      </c>
      <c r="E9" s="105">
        <v>45323</v>
      </c>
      <c r="F9" s="616" t="s">
        <v>1481</v>
      </c>
      <c r="G9" s="105"/>
      <c r="H9" s="658" t="s">
        <v>1629</v>
      </c>
      <c r="J9" s="534" t="s">
        <v>1455</v>
      </c>
      <c r="K9" s="528">
        <v>7500</v>
      </c>
      <c r="L9" s="482">
        <f>K9*10/12</f>
        <v>6250</v>
      </c>
      <c r="M9" s="529">
        <f t="shared" si="0"/>
        <v>1250</v>
      </c>
      <c r="N9" s="530" t="s">
        <v>1488</v>
      </c>
    </row>
    <row r="10" spans="1:14" x14ac:dyDescent="0.25">
      <c r="A10" s="117" t="s">
        <v>1489</v>
      </c>
      <c r="B10" s="108">
        <v>45323</v>
      </c>
      <c r="C10" s="108">
        <v>45688</v>
      </c>
      <c r="D10" s="118">
        <v>7500</v>
      </c>
      <c r="E10" s="119">
        <v>45323</v>
      </c>
      <c r="F10" s="539" t="s">
        <v>1490</v>
      </c>
      <c r="G10" s="119">
        <v>45371</v>
      </c>
      <c r="H10" s="148"/>
      <c r="J10" s="534" t="s">
        <v>1544</v>
      </c>
      <c r="K10" s="528">
        <v>7500</v>
      </c>
      <c r="L10" s="482">
        <f>K10*9/12</f>
        <v>5625</v>
      </c>
      <c r="M10" s="529">
        <f t="shared" si="0"/>
        <v>1875</v>
      </c>
      <c r="N10" s="530" t="s">
        <v>1564</v>
      </c>
    </row>
    <row r="11" spans="1:14" ht="15.75" thickBot="1" x14ac:dyDescent="0.3">
      <c r="A11" s="122" t="s">
        <v>1630</v>
      </c>
      <c r="B11" s="123">
        <v>45323</v>
      </c>
      <c r="C11" s="123">
        <v>45688</v>
      </c>
      <c r="D11" s="124">
        <v>7500</v>
      </c>
      <c r="E11" s="125"/>
      <c r="F11" s="126"/>
      <c r="G11" s="126"/>
      <c r="H11" s="157" t="s">
        <v>1631</v>
      </c>
      <c r="J11" s="535" t="s">
        <v>1491</v>
      </c>
      <c r="K11" s="528"/>
      <c r="L11" s="482"/>
      <c r="M11" s="529"/>
      <c r="N11" s="530"/>
    </row>
    <row r="12" spans="1:14" x14ac:dyDescent="0.25">
      <c r="A12" s="128" t="s">
        <v>105</v>
      </c>
      <c r="B12" s="103">
        <v>45352</v>
      </c>
      <c r="C12" s="129">
        <v>45716</v>
      </c>
      <c r="D12" s="104">
        <v>7500</v>
      </c>
      <c r="E12" s="105">
        <v>45352</v>
      </c>
      <c r="F12" s="465" t="s">
        <v>1477</v>
      </c>
      <c r="G12" s="536">
        <v>45351</v>
      </c>
      <c r="H12" s="111"/>
      <c r="J12" s="534"/>
      <c r="K12" s="528"/>
      <c r="L12" s="482"/>
      <c r="M12" s="529"/>
      <c r="N12" s="530"/>
    </row>
    <row r="13" spans="1:14" ht="15" customHeight="1" x14ac:dyDescent="0.25">
      <c r="A13" s="131" t="s">
        <v>1454</v>
      </c>
      <c r="B13" s="108">
        <v>45352</v>
      </c>
      <c r="C13" s="108">
        <v>45716</v>
      </c>
      <c r="D13" s="537">
        <v>25000</v>
      </c>
      <c r="E13" s="110">
        <v>45352</v>
      </c>
      <c r="F13" s="213" t="s">
        <v>1478</v>
      </c>
      <c r="G13" s="110">
        <v>45442</v>
      </c>
      <c r="H13" s="148" t="s">
        <v>1632</v>
      </c>
      <c r="J13" s="107" t="s">
        <v>103</v>
      </c>
      <c r="K13" s="121">
        <f>SUM(K4:K12)</f>
        <v>67000</v>
      </c>
      <c r="L13" s="121">
        <f t="shared" ref="L13:M13" si="1">SUM(L4:L12)</f>
        <v>58375</v>
      </c>
      <c r="M13" s="121">
        <f t="shared" si="1"/>
        <v>8625</v>
      </c>
    </row>
    <row r="14" spans="1:14" x14ac:dyDescent="0.25">
      <c r="A14" s="498" t="s">
        <v>1487</v>
      </c>
      <c r="B14" s="499">
        <v>45352</v>
      </c>
      <c r="C14" s="500">
        <v>45716</v>
      </c>
      <c r="D14" s="501">
        <v>7500</v>
      </c>
      <c r="E14" s="119">
        <v>45352</v>
      </c>
      <c r="F14" s="539" t="s">
        <v>1492</v>
      </c>
      <c r="G14" s="119">
        <v>45382</v>
      </c>
      <c r="H14" s="502"/>
      <c r="J14" s="527"/>
      <c r="K14" s="528"/>
      <c r="L14" s="96"/>
      <c r="M14" s="529"/>
      <c r="N14" s="538"/>
    </row>
    <row r="15" spans="1:14" x14ac:dyDescent="0.25">
      <c r="A15" s="131" t="s">
        <v>1453</v>
      </c>
      <c r="B15" s="108">
        <v>45382</v>
      </c>
      <c r="C15" s="108">
        <v>45746</v>
      </c>
      <c r="D15" s="114">
        <v>7500</v>
      </c>
      <c r="E15" s="110">
        <v>45352</v>
      </c>
      <c r="F15" s="213" t="s">
        <v>1493</v>
      </c>
      <c r="G15" s="119">
        <v>45382</v>
      </c>
      <c r="H15" s="527"/>
      <c r="J15" s="106"/>
      <c r="K15" s="528"/>
      <c r="L15" s="96"/>
      <c r="M15" s="529"/>
      <c r="N15" s="538"/>
    </row>
    <row r="16" spans="1:14" ht="15.75" thickBot="1" x14ac:dyDescent="0.3">
      <c r="A16" s="131" t="s">
        <v>1455</v>
      </c>
      <c r="B16" s="108">
        <v>45366</v>
      </c>
      <c r="C16" s="108">
        <v>45730</v>
      </c>
      <c r="D16" s="114">
        <v>7500</v>
      </c>
      <c r="E16" s="110">
        <v>45366</v>
      </c>
      <c r="F16" s="213" t="s">
        <v>1494</v>
      </c>
      <c r="G16" s="110">
        <v>45373</v>
      </c>
      <c r="H16" s="527"/>
      <c r="J16" s="120"/>
      <c r="K16" s="540"/>
      <c r="L16" s="130"/>
      <c r="M16" s="541"/>
    </row>
    <row r="17" spans="1:15" ht="15.75" thickBot="1" x14ac:dyDescent="0.3">
      <c r="A17" s="552" t="s">
        <v>1495</v>
      </c>
      <c r="B17" s="150">
        <v>45382</v>
      </c>
      <c r="C17" s="150">
        <v>45746</v>
      </c>
      <c r="D17" s="151">
        <v>7500</v>
      </c>
      <c r="E17" s="152">
        <v>45382</v>
      </c>
      <c r="F17" s="659" t="s">
        <v>1633</v>
      </c>
      <c r="G17" s="553">
        <v>45446</v>
      </c>
      <c r="H17" s="660"/>
      <c r="J17" s="132" t="s">
        <v>1565</v>
      </c>
      <c r="K17" s="133"/>
      <c r="L17" s="134" t="s">
        <v>1353</v>
      </c>
      <c r="M17" s="135" t="s">
        <v>1292</v>
      </c>
      <c r="O17" s="113"/>
    </row>
    <row r="18" spans="1:15" x14ac:dyDescent="0.25">
      <c r="A18" s="102" t="s">
        <v>1496</v>
      </c>
      <c r="B18" s="103">
        <v>45383</v>
      </c>
      <c r="C18" s="103">
        <v>45747</v>
      </c>
      <c r="D18" s="104">
        <v>11500</v>
      </c>
      <c r="E18" s="105">
        <v>45383</v>
      </c>
      <c r="F18" s="661" t="s">
        <v>1563</v>
      </c>
      <c r="G18" s="105">
        <v>45441</v>
      </c>
      <c r="H18" s="111"/>
      <c r="J18" s="112"/>
      <c r="K18" s="528"/>
      <c r="L18" s="138"/>
      <c r="M18" s="139"/>
    </row>
    <row r="19" spans="1:15" x14ac:dyDescent="0.25">
      <c r="A19" s="107" t="s">
        <v>580</v>
      </c>
      <c r="B19" s="108">
        <v>45383</v>
      </c>
      <c r="C19" s="108">
        <v>45747</v>
      </c>
      <c r="D19" s="114">
        <v>7500</v>
      </c>
      <c r="E19" s="110">
        <v>45383</v>
      </c>
      <c r="F19" s="213" t="s">
        <v>1539</v>
      </c>
      <c r="G19" s="110">
        <v>45419</v>
      </c>
      <c r="H19" s="164"/>
      <c r="J19" s="532" t="s">
        <v>763</v>
      </c>
      <c r="K19" s="617">
        <v>2500</v>
      </c>
      <c r="L19" s="617">
        <v>2500</v>
      </c>
      <c r="M19" s="618" t="s">
        <v>555</v>
      </c>
    </row>
    <row r="20" spans="1:15" x14ac:dyDescent="0.25">
      <c r="A20" s="107" t="s">
        <v>1497</v>
      </c>
      <c r="B20" s="108">
        <v>45383</v>
      </c>
      <c r="C20" s="108">
        <v>45747</v>
      </c>
      <c r="D20" s="114">
        <v>7500</v>
      </c>
      <c r="E20" s="110">
        <v>45383</v>
      </c>
      <c r="F20" s="464" t="s">
        <v>1566</v>
      </c>
      <c r="G20" s="110"/>
      <c r="H20" s="148" t="s">
        <v>1634</v>
      </c>
      <c r="J20" s="619" t="s">
        <v>1155</v>
      </c>
      <c r="K20" s="620">
        <v>5000</v>
      </c>
      <c r="L20" s="620">
        <v>5000</v>
      </c>
      <c r="M20" s="621" t="s">
        <v>1635</v>
      </c>
    </row>
    <row r="21" spans="1:15" x14ac:dyDescent="0.25">
      <c r="A21" s="107" t="s">
        <v>1544</v>
      </c>
      <c r="B21" s="108">
        <v>45383</v>
      </c>
      <c r="C21" s="108">
        <v>45747</v>
      </c>
      <c r="D21" s="114">
        <v>7500</v>
      </c>
      <c r="E21" s="110">
        <v>45383</v>
      </c>
      <c r="F21" s="213" t="s">
        <v>1567</v>
      </c>
      <c r="G21" s="531">
        <v>45439</v>
      </c>
      <c r="H21" s="148"/>
      <c r="J21" s="662" t="s">
        <v>651</v>
      </c>
      <c r="K21" s="528">
        <v>3500</v>
      </c>
      <c r="L21" s="96"/>
      <c r="M21" s="527" t="s">
        <v>1636</v>
      </c>
    </row>
    <row r="22" spans="1:15" ht="15.75" thickBot="1" x14ac:dyDescent="0.3">
      <c r="A22" s="149" t="s">
        <v>1540</v>
      </c>
      <c r="B22" s="150">
        <v>45397</v>
      </c>
      <c r="C22" s="150">
        <v>45761</v>
      </c>
      <c r="D22" s="151">
        <v>5000</v>
      </c>
      <c r="E22" s="152"/>
      <c r="F22" s="622"/>
      <c r="G22" s="152"/>
      <c r="H22" s="623" t="s">
        <v>1568</v>
      </c>
      <c r="J22" s="115"/>
      <c r="K22" s="528"/>
      <c r="L22" s="96"/>
      <c r="M22" s="106"/>
    </row>
    <row r="23" spans="1:15" x14ac:dyDescent="0.25">
      <c r="A23" s="663" t="s">
        <v>925</v>
      </c>
      <c r="B23" s="500">
        <v>45413</v>
      </c>
      <c r="C23" s="500">
        <v>45777</v>
      </c>
      <c r="D23" s="664">
        <v>15000</v>
      </c>
      <c r="E23" s="665">
        <v>45413</v>
      </c>
      <c r="F23" s="666" t="s">
        <v>1616</v>
      </c>
      <c r="G23" s="665"/>
      <c r="H23" s="667" t="s">
        <v>1637</v>
      </c>
      <c r="J23" s="662" t="s">
        <v>1295</v>
      </c>
      <c r="K23" s="668">
        <v>5000</v>
      </c>
      <c r="L23" s="96"/>
      <c r="M23" s="527" t="s">
        <v>1638</v>
      </c>
    </row>
    <row r="24" spans="1:15" ht="15.75" thickBot="1" x14ac:dyDescent="0.3">
      <c r="A24" s="122" t="s">
        <v>546</v>
      </c>
      <c r="B24" s="123">
        <v>45427</v>
      </c>
      <c r="C24" s="123">
        <v>45791</v>
      </c>
      <c r="D24" s="124">
        <v>7500</v>
      </c>
      <c r="E24" s="125">
        <v>45427</v>
      </c>
      <c r="F24" s="659" t="s">
        <v>1639</v>
      </c>
      <c r="G24" s="125">
        <v>45441</v>
      </c>
      <c r="H24" s="669"/>
      <c r="J24" s="115"/>
      <c r="K24" s="528"/>
      <c r="L24" s="96"/>
      <c r="M24" s="106"/>
    </row>
    <row r="25" spans="1:15" x14ac:dyDescent="0.25">
      <c r="A25" s="128" t="s">
        <v>1640</v>
      </c>
      <c r="B25" s="103">
        <v>45474</v>
      </c>
      <c r="C25" s="103">
        <v>45838</v>
      </c>
      <c r="D25" s="104">
        <v>7500</v>
      </c>
      <c r="E25" s="105"/>
      <c r="F25" s="465"/>
      <c r="G25" s="105"/>
      <c r="H25" s="446" t="s">
        <v>1641</v>
      </c>
      <c r="J25" s="115"/>
      <c r="K25" s="528"/>
      <c r="L25" s="96"/>
      <c r="M25" s="106"/>
    </row>
    <row r="26" spans="1:15" ht="15.75" thickBot="1" x14ac:dyDescent="0.3">
      <c r="A26" s="156" t="s">
        <v>596</v>
      </c>
      <c r="B26" s="123">
        <v>45474</v>
      </c>
      <c r="C26" s="123">
        <v>45838</v>
      </c>
      <c r="D26" s="124">
        <v>11500</v>
      </c>
      <c r="E26" s="125"/>
      <c r="F26" s="126"/>
      <c r="G26" s="125"/>
      <c r="H26" s="157" t="s">
        <v>1642</v>
      </c>
      <c r="J26" s="115"/>
      <c r="K26" s="528"/>
      <c r="L26" s="96"/>
      <c r="M26" s="529"/>
    </row>
    <row r="27" spans="1:15" x14ac:dyDescent="0.25">
      <c r="A27" s="128" t="s">
        <v>1498</v>
      </c>
      <c r="B27" s="103">
        <v>45505</v>
      </c>
      <c r="C27" s="103">
        <v>45869</v>
      </c>
      <c r="D27" s="104">
        <v>7500</v>
      </c>
      <c r="E27" s="105"/>
      <c r="F27" s="465"/>
      <c r="G27" s="105"/>
      <c r="H27" s="497" t="s">
        <v>1643</v>
      </c>
      <c r="J27" s="107" t="s">
        <v>1</v>
      </c>
      <c r="K27" s="57">
        <f>SUM(K18:K26)</f>
        <v>16000</v>
      </c>
      <c r="L27" s="57">
        <f t="shared" ref="L27:M27" si="2">SUM(L18:L26)</f>
        <v>7500</v>
      </c>
      <c r="M27" s="57">
        <f t="shared" si="2"/>
        <v>0</v>
      </c>
    </row>
    <row r="28" spans="1:15" x14ac:dyDescent="0.25">
      <c r="A28" s="159" t="s">
        <v>221</v>
      </c>
      <c r="B28" s="160">
        <v>45505</v>
      </c>
      <c r="C28" s="160">
        <v>45869</v>
      </c>
      <c r="D28" s="161">
        <v>7500</v>
      </c>
      <c r="E28" s="110"/>
      <c r="F28" s="624"/>
      <c r="G28" s="110"/>
      <c r="H28" s="162" t="s">
        <v>1644</v>
      </c>
      <c r="J28" s="163"/>
      <c r="K28" s="58"/>
      <c r="L28" s="58"/>
      <c r="M28" s="58"/>
    </row>
    <row r="29" spans="1:15" x14ac:dyDescent="0.25">
      <c r="A29" s="107" t="s">
        <v>1499</v>
      </c>
      <c r="B29" s="108">
        <v>45505</v>
      </c>
      <c r="C29" s="108">
        <v>45869</v>
      </c>
      <c r="D29" s="114">
        <v>7500</v>
      </c>
      <c r="E29" s="110"/>
      <c r="F29" s="464"/>
      <c r="G29" s="110"/>
      <c r="H29" s="111" t="s">
        <v>1645</v>
      </c>
      <c r="J29" s="41" t="s">
        <v>1354</v>
      </c>
      <c r="K29" s="41" t="s">
        <v>204</v>
      </c>
      <c r="L29" s="41" t="s">
        <v>1003</v>
      </c>
      <c r="M29" s="41" t="s">
        <v>1355</v>
      </c>
    </row>
    <row r="30" spans="1:15" x14ac:dyDescent="0.25">
      <c r="A30" s="107" t="s">
        <v>1646</v>
      </c>
      <c r="B30" s="108">
        <v>45505</v>
      </c>
      <c r="C30" s="108">
        <v>45869</v>
      </c>
      <c r="D30" s="109">
        <v>7500</v>
      </c>
      <c r="E30" s="110"/>
      <c r="F30" s="213"/>
      <c r="G30" s="110"/>
      <c r="H30" s="148" t="s">
        <v>1647</v>
      </c>
      <c r="J30" s="670" t="s">
        <v>1541</v>
      </c>
      <c r="K30" s="671">
        <v>7500</v>
      </c>
      <c r="L30" s="672">
        <f>7500*11/12</f>
        <v>6875</v>
      </c>
      <c r="M30" s="672">
        <f t="shared" ref="M30" si="3">K30-L30</f>
        <v>625</v>
      </c>
      <c r="N30" s="673" t="s">
        <v>1434</v>
      </c>
    </row>
    <row r="31" spans="1:15" ht="15.75" thickBot="1" x14ac:dyDescent="0.3">
      <c r="A31" s="165" t="s">
        <v>1500</v>
      </c>
      <c r="B31" s="123">
        <v>45505</v>
      </c>
      <c r="C31" s="123">
        <v>45869</v>
      </c>
      <c r="D31" s="166">
        <v>11500</v>
      </c>
      <c r="E31" s="125"/>
      <c r="F31" s="126"/>
      <c r="G31" s="125"/>
      <c r="H31" s="674" t="s">
        <v>1648</v>
      </c>
      <c r="J31" s="211" t="s">
        <v>1649</v>
      </c>
      <c r="K31" s="675">
        <v>7500</v>
      </c>
      <c r="L31" s="672">
        <f>7500*11/12</f>
        <v>6875</v>
      </c>
      <c r="M31" s="672">
        <f>K31-L31</f>
        <v>625</v>
      </c>
      <c r="N31" s="676" t="s">
        <v>1434</v>
      </c>
    </row>
    <row r="32" spans="1:15" x14ac:dyDescent="0.25">
      <c r="A32" s="447" t="s">
        <v>1501</v>
      </c>
      <c r="B32" s="141">
        <v>45536</v>
      </c>
      <c r="C32" s="448">
        <v>45900</v>
      </c>
      <c r="D32" s="449">
        <v>7500</v>
      </c>
      <c r="E32" s="143"/>
      <c r="F32" s="625"/>
      <c r="G32" s="143"/>
      <c r="H32" s="148"/>
      <c r="J32" s="677"/>
      <c r="K32" s="675"/>
      <c r="L32" s="672"/>
      <c r="M32" s="672"/>
      <c r="N32" s="678" t="s">
        <v>1650</v>
      </c>
      <c r="O32" s="538" t="s">
        <v>1651</v>
      </c>
    </row>
    <row r="33" spans="1:13" x14ac:dyDescent="0.25">
      <c r="A33" s="107" t="s">
        <v>152</v>
      </c>
      <c r="B33" s="108">
        <v>45536</v>
      </c>
      <c r="C33" s="170">
        <v>45900</v>
      </c>
      <c r="D33" s="114">
        <v>7500</v>
      </c>
      <c r="E33" s="110"/>
      <c r="F33" s="213"/>
      <c r="G33" s="110"/>
      <c r="J33" s="112"/>
      <c r="K33" s="675"/>
      <c r="L33" s="672"/>
      <c r="M33" s="672"/>
    </row>
    <row r="34" spans="1:13" ht="68.25" thickBot="1" x14ac:dyDescent="0.3">
      <c r="A34" s="172" t="s">
        <v>1502</v>
      </c>
      <c r="B34" s="108">
        <v>45536</v>
      </c>
      <c r="C34" s="170">
        <v>45900</v>
      </c>
      <c r="D34" s="109">
        <v>25000</v>
      </c>
      <c r="E34" s="110"/>
      <c r="F34" s="464"/>
      <c r="G34" s="110"/>
      <c r="H34" s="164" t="s">
        <v>1652</v>
      </c>
      <c r="J34" s="688" t="s">
        <v>1653</v>
      </c>
      <c r="K34" s="671" t="s">
        <v>1654</v>
      </c>
      <c r="L34" s="672"/>
      <c r="M34" s="672"/>
    </row>
    <row r="35" spans="1:13" ht="15.75" thickBot="1" x14ac:dyDescent="0.3">
      <c r="A35" s="486" t="s">
        <v>209</v>
      </c>
      <c r="B35" s="450">
        <v>45597</v>
      </c>
      <c r="C35" s="450">
        <v>45961</v>
      </c>
      <c r="D35" s="451">
        <v>11500</v>
      </c>
      <c r="E35" s="452"/>
      <c r="F35" s="487"/>
      <c r="G35" s="452"/>
      <c r="H35" s="488"/>
      <c r="J35" s="176"/>
      <c r="K35" s="169"/>
      <c r="L35" s="59"/>
      <c r="M35" s="529"/>
    </row>
    <row r="36" spans="1:13" x14ac:dyDescent="0.25">
      <c r="A36" s="428" t="s">
        <v>454</v>
      </c>
      <c r="B36" s="103">
        <v>45627</v>
      </c>
      <c r="C36" s="103">
        <v>45991</v>
      </c>
      <c r="D36" s="104">
        <v>7500</v>
      </c>
      <c r="E36" s="105"/>
      <c r="F36" s="465"/>
      <c r="G36" s="105"/>
      <c r="H36" s="429" t="s">
        <v>1655</v>
      </c>
      <c r="J36" s="176"/>
      <c r="K36" s="169"/>
      <c r="L36" s="59"/>
      <c r="M36" s="529"/>
    </row>
    <row r="37" spans="1:13" x14ac:dyDescent="0.25">
      <c r="A37" s="131" t="s">
        <v>1421</v>
      </c>
      <c r="B37" s="108">
        <v>45627</v>
      </c>
      <c r="C37" s="108">
        <v>45991</v>
      </c>
      <c r="D37" s="114">
        <v>11500</v>
      </c>
      <c r="E37" s="110"/>
      <c r="F37" s="213"/>
      <c r="G37" s="110"/>
      <c r="H37" s="180"/>
      <c r="J37" s="107" t="s">
        <v>1</v>
      </c>
      <c r="K37" s="178">
        <f>SUM(K30:K36)</f>
        <v>15000</v>
      </c>
      <c r="L37" s="178">
        <f t="shared" ref="L37:M37" si="4">SUM(L30:L36)</f>
        <v>13750</v>
      </c>
      <c r="M37" s="178">
        <f t="shared" si="4"/>
        <v>1250</v>
      </c>
    </row>
    <row r="38" spans="1:13" x14ac:dyDescent="0.25">
      <c r="A38" s="131" t="s">
        <v>1504</v>
      </c>
      <c r="B38" s="108">
        <v>45627</v>
      </c>
      <c r="C38" s="108">
        <v>45991</v>
      </c>
      <c r="D38" s="114">
        <v>7500</v>
      </c>
      <c r="E38" s="110"/>
      <c r="F38" s="464"/>
      <c r="G38" s="110"/>
      <c r="H38" s="179" t="s">
        <v>1656</v>
      </c>
    </row>
    <row r="39" spans="1:13" x14ac:dyDescent="0.25">
      <c r="A39" s="131" t="s">
        <v>1506</v>
      </c>
      <c r="B39" s="108">
        <v>45627</v>
      </c>
      <c r="C39" s="108">
        <v>45991</v>
      </c>
      <c r="D39" s="114">
        <v>11500</v>
      </c>
      <c r="E39" s="110"/>
      <c r="F39" s="464"/>
      <c r="G39" s="110"/>
      <c r="H39" s="180"/>
      <c r="J39" s="100" t="s">
        <v>1302</v>
      </c>
      <c r="K39" s="100" t="s">
        <v>1303</v>
      </c>
      <c r="L39" s="100" t="s">
        <v>204</v>
      </c>
      <c r="M39" s="100" t="s">
        <v>202</v>
      </c>
    </row>
    <row r="40" spans="1:13" x14ac:dyDescent="0.25">
      <c r="A40" s="131" t="s">
        <v>1508</v>
      </c>
      <c r="B40" s="108">
        <v>45627</v>
      </c>
      <c r="C40" s="108">
        <v>45991</v>
      </c>
      <c r="D40" s="114">
        <v>11500</v>
      </c>
      <c r="E40" s="110"/>
      <c r="F40" s="213"/>
      <c r="G40" s="110"/>
      <c r="H40" s="533"/>
      <c r="J40" s="679"/>
      <c r="K40" s="680"/>
      <c r="L40" s="679"/>
      <c r="M40" s="679"/>
    </row>
    <row r="41" spans="1:13" x14ac:dyDescent="0.25">
      <c r="A41" s="131" t="s">
        <v>1344</v>
      </c>
      <c r="B41" s="108">
        <v>45627</v>
      </c>
      <c r="C41" s="108">
        <v>45991</v>
      </c>
      <c r="D41" s="114">
        <v>7500</v>
      </c>
      <c r="E41" s="110"/>
      <c r="F41" s="213"/>
      <c r="G41" s="110"/>
      <c r="H41" s="533"/>
      <c r="J41" s="681" t="s">
        <v>1543</v>
      </c>
      <c r="K41" s="682" t="s">
        <v>1076</v>
      </c>
      <c r="L41" s="683">
        <v>25000</v>
      </c>
      <c r="M41" s="621" t="s">
        <v>1657</v>
      </c>
    </row>
    <row r="42" spans="1:13" x14ac:dyDescent="0.25">
      <c r="A42" s="185" t="s">
        <v>1509</v>
      </c>
      <c r="B42" s="186"/>
      <c r="C42" s="186"/>
      <c r="D42" s="187">
        <f>SUM(D3:D41)</f>
        <v>460500</v>
      </c>
      <c r="E42" s="542"/>
      <c r="F42" s="626"/>
      <c r="G42" s="188"/>
      <c r="H42" s="189"/>
      <c r="J42" s="681" t="s">
        <v>1543</v>
      </c>
      <c r="K42" s="682" t="s">
        <v>1658</v>
      </c>
      <c r="L42" s="683">
        <v>7500</v>
      </c>
      <c r="M42" s="615" t="s">
        <v>1659</v>
      </c>
    </row>
    <row r="43" spans="1:13" x14ac:dyDescent="0.25">
      <c r="A43" s="194" t="s">
        <v>1127</v>
      </c>
      <c r="B43" s="191"/>
      <c r="C43" s="191"/>
      <c r="D43" s="192">
        <f>+D42/12</f>
        <v>38375</v>
      </c>
      <c r="E43" s="193" t="s">
        <v>1011</v>
      </c>
      <c r="F43" s="462"/>
      <c r="G43" s="193"/>
      <c r="J43" s="112" t="s">
        <v>1543</v>
      </c>
      <c r="K43" s="172" t="s">
        <v>1510</v>
      </c>
      <c r="L43" s="184">
        <v>7500</v>
      </c>
      <c r="M43" s="490" t="s">
        <v>1660</v>
      </c>
    </row>
    <row r="44" spans="1:13" x14ac:dyDescent="0.25">
      <c r="B44" s="191"/>
      <c r="C44" s="191"/>
      <c r="D44" s="192"/>
      <c r="E44" s="193"/>
      <c r="F44" s="462"/>
      <c r="G44" s="193"/>
      <c r="J44" s="112" t="s">
        <v>1543</v>
      </c>
      <c r="K44" s="112" t="s">
        <v>1511</v>
      </c>
      <c r="L44" s="184">
        <v>25000</v>
      </c>
      <c r="M44" s="198" t="s">
        <v>1512</v>
      </c>
    </row>
    <row r="45" spans="1:13" x14ac:dyDescent="0.25">
      <c r="A45" s="491" t="s">
        <v>239</v>
      </c>
      <c r="B45" s="492" t="s">
        <v>199</v>
      </c>
      <c r="C45" s="492" t="s">
        <v>145</v>
      </c>
      <c r="D45" s="543" t="s">
        <v>1514</v>
      </c>
      <c r="E45" s="493" t="s">
        <v>240</v>
      </c>
      <c r="F45" s="627"/>
      <c r="G45" s="493"/>
      <c r="H45" s="494"/>
      <c r="J45" s="112" t="s">
        <v>1543</v>
      </c>
      <c r="K45" s="112" t="s">
        <v>1435</v>
      </c>
      <c r="L45" s="184">
        <v>7500</v>
      </c>
      <c r="M45" s="198" t="s">
        <v>1661</v>
      </c>
    </row>
    <row r="46" spans="1:13" x14ac:dyDescent="0.25">
      <c r="A46" s="112" t="s">
        <v>1251</v>
      </c>
      <c r="B46" s="170">
        <v>44958</v>
      </c>
      <c r="C46" s="170">
        <v>45322</v>
      </c>
      <c r="D46" s="109"/>
      <c r="E46" s="110"/>
      <c r="F46" s="213"/>
      <c r="G46" s="110"/>
      <c r="H46" s="208" t="s">
        <v>1515</v>
      </c>
      <c r="I46" s="684">
        <v>2023</v>
      </c>
      <c r="J46" s="112"/>
      <c r="K46" s="628"/>
      <c r="L46" s="184"/>
      <c r="M46" s="527"/>
    </row>
    <row r="47" spans="1:13" x14ac:dyDescent="0.25">
      <c r="A47" s="527" t="s">
        <v>1516</v>
      </c>
      <c r="B47" s="108">
        <v>45323</v>
      </c>
      <c r="C47" s="108">
        <v>45688</v>
      </c>
      <c r="D47" s="114">
        <v>7500</v>
      </c>
      <c r="E47" s="110">
        <v>45307</v>
      </c>
      <c r="F47" s="213"/>
      <c r="G47" s="110"/>
      <c r="H47" s="527" t="s">
        <v>1517</v>
      </c>
      <c r="I47" s="684">
        <v>2023</v>
      </c>
      <c r="J47" s="112"/>
      <c r="K47" s="628"/>
      <c r="L47" s="184"/>
      <c r="M47" s="527"/>
    </row>
    <row r="48" spans="1:13" x14ac:dyDescent="0.25">
      <c r="A48" s="534" t="s">
        <v>1276</v>
      </c>
      <c r="B48" s="544">
        <v>45597</v>
      </c>
      <c r="C48" s="544">
        <v>45961</v>
      </c>
      <c r="D48" s="537">
        <v>7500</v>
      </c>
      <c r="E48" s="531"/>
      <c r="F48" s="213"/>
      <c r="G48" s="531"/>
      <c r="H48" s="208" t="s">
        <v>1518</v>
      </c>
      <c r="I48" s="684">
        <v>2021</v>
      </c>
      <c r="J48" s="99" t="s">
        <v>1519</v>
      </c>
      <c r="K48" s="206"/>
      <c r="L48" s="100" t="s">
        <v>204</v>
      </c>
      <c r="M48" s="100" t="s">
        <v>202</v>
      </c>
    </row>
    <row r="49" spans="1:13" x14ac:dyDescent="0.25">
      <c r="A49" s="112" t="s">
        <v>185</v>
      </c>
      <c r="B49" s="170">
        <v>45536</v>
      </c>
      <c r="C49" s="170">
        <v>45900</v>
      </c>
      <c r="D49" s="109">
        <v>7500</v>
      </c>
      <c r="E49" s="213"/>
      <c r="F49" s="213"/>
      <c r="G49" s="213"/>
      <c r="H49" s="210" t="s">
        <v>1662</v>
      </c>
      <c r="I49" s="684">
        <v>2023</v>
      </c>
      <c r="J49" s="112" t="s">
        <v>1520</v>
      </c>
      <c r="K49" s="112" t="s">
        <v>1437</v>
      </c>
      <c r="L49" s="184">
        <v>7500</v>
      </c>
      <c r="M49" s="198" t="s">
        <v>1521</v>
      </c>
    </row>
    <row r="50" spans="1:13" x14ac:dyDescent="0.25">
      <c r="A50" s="112" t="s">
        <v>1503</v>
      </c>
      <c r="B50" s="170">
        <v>45566</v>
      </c>
      <c r="C50" s="170">
        <v>45930</v>
      </c>
      <c r="D50" s="109">
        <v>11500</v>
      </c>
      <c r="E50" s="213"/>
      <c r="F50" s="213"/>
      <c r="G50" s="213"/>
      <c r="H50" s="210" t="s">
        <v>1663</v>
      </c>
      <c r="I50" s="684">
        <v>2022</v>
      </c>
      <c r="J50" s="112" t="s">
        <v>1522</v>
      </c>
      <c r="K50" s="112" t="s">
        <v>1439</v>
      </c>
      <c r="L50" s="184">
        <v>7500</v>
      </c>
      <c r="M50" s="198" t="s">
        <v>1523</v>
      </c>
    </row>
    <row r="51" spans="1:13" x14ac:dyDescent="0.25">
      <c r="A51" s="202"/>
      <c r="B51" s="103"/>
      <c r="C51" s="103"/>
      <c r="D51" s="104"/>
      <c r="E51" s="105"/>
      <c r="F51" s="465"/>
      <c r="G51" s="105"/>
      <c r="H51" s="111"/>
      <c r="J51" s="112" t="s">
        <v>1308</v>
      </c>
      <c r="K51" s="112" t="s">
        <v>1307</v>
      </c>
      <c r="L51" s="184">
        <v>7500</v>
      </c>
      <c r="M51" s="198" t="s">
        <v>1524</v>
      </c>
    </row>
    <row r="52" spans="1:13" x14ac:dyDescent="0.25">
      <c r="A52" s="106"/>
      <c r="B52" s="108"/>
      <c r="C52" s="108"/>
      <c r="D52" s="114"/>
      <c r="E52" s="110"/>
      <c r="F52" s="213"/>
      <c r="G52" s="110"/>
      <c r="H52" s="106"/>
      <c r="J52" s="112" t="s">
        <v>1308</v>
      </c>
      <c r="K52" s="112" t="s">
        <v>1435</v>
      </c>
      <c r="L52" s="184">
        <v>7500</v>
      </c>
      <c r="M52" s="198" t="s">
        <v>1525</v>
      </c>
    </row>
    <row r="53" spans="1:13" x14ac:dyDescent="0.25">
      <c r="A53" s="106"/>
      <c r="B53" s="108"/>
      <c r="C53" s="108"/>
      <c r="D53" s="114"/>
      <c r="E53" s="110"/>
      <c r="F53" s="213"/>
      <c r="G53" s="110"/>
      <c r="H53" s="106"/>
      <c r="J53" s="112" t="s">
        <v>1308</v>
      </c>
      <c r="K53" s="112" t="s">
        <v>1147</v>
      </c>
      <c r="L53" s="184">
        <v>3500</v>
      </c>
      <c r="M53" s="198" t="s">
        <v>1526</v>
      </c>
    </row>
    <row r="54" spans="1:13" x14ac:dyDescent="0.25">
      <c r="A54" s="106"/>
      <c r="B54" s="108"/>
      <c r="C54" s="108"/>
      <c r="D54" s="114"/>
      <c r="E54" s="110"/>
      <c r="F54" s="213"/>
      <c r="G54" s="110"/>
      <c r="H54" s="106"/>
      <c r="J54" s="112" t="s">
        <v>1308</v>
      </c>
      <c r="K54" s="112" t="s">
        <v>1513</v>
      </c>
      <c r="L54" s="184">
        <v>7500</v>
      </c>
      <c r="M54" s="198" t="s">
        <v>1545</v>
      </c>
    </row>
    <row r="55" spans="1:13" x14ac:dyDescent="0.25">
      <c r="A55" s="106"/>
      <c r="B55" s="108"/>
      <c r="C55" s="108"/>
      <c r="D55" s="114"/>
      <c r="E55" s="110"/>
      <c r="F55" s="213"/>
      <c r="G55" s="110"/>
      <c r="H55" s="106"/>
      <c r="J55" s="112" t="s">
        <v>1308</v>
      </c>
      <c r="K55" s="112" t="s">
        <v>272</v>
      </c>
      <c r="L55" s="184">
        <v>7500</v>
      </c>
      <c r="M55" s="210" t="s">
        <v>1505</v>
      </c>
    </row>
    <row r="56" spans="1:13" x14ac:dyDescent="0.25">
      <c r="B56" s="191"/>
      <c r="C56" s="191"/>
      <c r="D56" s="192"/>
      <c r="E56" s="193"/>
      <c r="F56" s="462"/>
      <c r="G56" s="193"/>
      <c r="J56" s="112" t="s">
        <v>1308</v>
      </c>
      <c r="K56" s="112" t="s">
        <v>1574</v>
      </c>
      <c r="L56" s="184">
        <v>7500</v>
      </c>
      <c r="M56" s="489" t="s">
        <v>1542</v>
      </c>
    </row>
    <row r="57" spans="1:13" x14ac:dyDescent="0.25">
      <c r="A57" s="491" t="s">
        <v>638</v>
      </c>
      <c r="B57" s="492" t="s">
        <v>199</v>
      </c>
      <c r="C57" s="492" t="s">
        <v>145</v>
      </c>
      <c r="D57" s="495"/>
      <c r="E57" s="496" t="s">
        <v>240</v>
      </c>
      <c r="F57" s="629"/>
      <c r="G57" s="496"/>
      <c r="H57" s="494"/>
      <c r="J57" s="112" t="s">
        <v>1308</v>
      </c>
      <c r="K57" s="112" t="s">
        <v>1438</v>
      </c>
      <c r="L57" s="184">
        <v>7500</v>
      </c>
      <c r="M57" s="489" t="s">
        <v>1575</v>
      </c>
    </row>
    <row r="58" spans="1:13" x14ac:dyDescent="0.25">
      <c r="A58" s="107"/>
      <c r="B58" s="108"/>
      <c r="C58" s="108"/>
      <c r="D58" s="114"/>
      <c r="E58" s="110"/>
      <c r="F58" s="213"/>
      <c r="G58" s="110"/>
      <c r="H58" s="106"/>
      <c r="J58" s="112" t="s">
        <v>1543</v>
      </c>
      <c r="K58" s="211" t="s">
        <v>1569</v>
      </c>
      <c r="L58" s="184">
        <v>7500</v>
      </c>
      <c r="M58" s="211" t="s">
        <v>1570</v>
      </c>
    </row>
    <row r="59" spans="1:13" x14ac:dyDescent="0.25">
      <c r="A59" s="128"/>
      <c r="B59" s="103"/>
      <c r="C59" s="103"/>
      <c r="D59" s="114"/>
      <c r="E59" s="110"/>
      <c r="F59" s="213"/>
      <c r="G59" s="110"/>
      <c r="H59" s="106"/>
      <c r="J59" s="112" t="s">
        <v>1543</v>
      </c>
      <c r="K59" s="106" t="s">
        <v>969</v>
      </c>
      <c r="L59" s="184">
        <v>7500</v>
      </c>
      <c r="M59" s="527" t="s">
        <v>1571</v>
      </c>
    </row>
    <row r="60" spans="1:13" x14ac:dyDescent="0.25">
      <c r="B60" s="191"/>
      <c r="C60" s="191"/>
      <c r="D60" s="192"/>
      <c r="E60" s="193"/>
      <c r="F60" s="462"/>
      <c r="G60" s="193"/>
      <c r="J60" s="112" t="s">
        <v>1543</v>
      </c>
      <c r="K60" s="527" t="s">
        <v>1572</v>
      </c>
      <c r="L60" s="184">
        <v>25000</v>
      </c>
      <c r="M60" s="527" t="s">
        <v>1573</v>
      </c>
    </row>
    <row r="61" spans="1:13" x14ac:dyDescent="0.25">
      <c r="B61" s="191"/>
      <c r="C61" s="191"/>
      <c r="D61" s="192"/>
      <c r="E61" s="193"/>
      <c r="F61" s="462"/>
      <c r="G61" s="193"/>
      <c r="J61" s="112" t="s">
        <v>1543</v>
      </c>
      <c r="K61" s="112" t="s">
        <v>809</v>
      </c>
      <c r="L61" s="184">
        <v>7500</v>
      </c>
      <c r="M61" s="198" t="s">
        <v>1507</v>
      </c>
    </row>
    <row r="62" spans="1:13" x14ac:dyDescent="0.25">
      <c r="B62" s="191"/>
      <c r="C62" s="191"/>
      <c r="D62" s="192"/>
      <c r="E62" s="193"/>
      <c r="F62" s="462"/>
      <c r="G62" s="193"/>
      <c r="J62" s="112" t="s">
        <v>1543</v>
      </c>
      <c r="K62" s="112" t="s">
        <v>1513</v>
      </c>
      <c r="L62" s="184">
        <v>7500</v>
      </c>
      <c r="M62" s="489" t="s">
        <v>1664</v>
      </c>
    </row>
    <row r="63" spans="1:13" ht="15.75" x14ac:dyDescent="0.25">
      <c r="A63" s="443">
        <v>2023</v>
      </c>
      <c r="B63" s="444"/>
      <c r="C63" s="444"/>
      <c r="D63" s="444"/>
      <c r="E63" s="445"/>
      <c r="F63" s="612"/>
      <c r="G63" s="445"/>
      <c r="H63" s="444"/>
      <c r="J63" s="685"/>
      <c r="K63" s="430"/>
      <c r="L63" s="686"/>
      <c r="M63" s="687"/>
    </row>
    <row r="64" spans="1:13" x14ac:dyDescent="0.25">
      <c r="A64" s="99" t="s">
        <v>1241</v>
      </c>
      <c r="B64" s="99" t="s">
        <v>199</v>
      </c>
      <c r="C64" s="99" t="s">
        <v>145</v>
      </c>
      <c r="D64" s="99" t="s">
        <v>200</v>
      </c>
      <c r="E64" s="100" t="s">
        <v>148</v>
      </c>
      <c r="F64" s="613" t="s">
        <v>146</v>
      </c>
      <c r="G64" s="100" t="s">
        <v>201</v>
      </c>
      <c r="H64" s="99" t="s">
        <v>202</v>
      </c>
      <c r="J64" s="685"/>
      <c r="K64" s="430"/>
      <c r="L64" s="686"/>
      <c r="M64" s="687"/>
    </row>
    <row r="65" spans="1:14" x14ac:dyDescent="0.25">
      <c r="A65" s="102" t="s">
        <v>1242</v>
      </c>
      <c r="B65" s="103">
        <v>44927</v>
      </c>
      <c r="C65" s="103">
        <v>45291</v>
      </c>
      <c r="D65" s="104">
        <v>7500</v>
      </c>
      <c r="E65" s="105">
        <v>44927</v>
      </c>
      <c r="F65" s="465" t="s">
        <v>1038</v>
      </c>
      <c r="G65" s="105">
        <v>45049</v>
      </c>
      <c r="H65" s="106"/>
      <c r="J65" s="453" t="s">
        <v>999</v>
      </c>
      <c r="K65" s="453" t="s">
        <v>204</v>
      </c>
      <c r="L65" s="453" t="s">
        <v>778</v>
      </c>
      <c r="M65" s="453" t="s">
        <v>1000</v>
      </c>
    </row>
    <row r="66" spans="1:14" x14ac:dyDescent="0.25">
      <c r="A66" s="107" t="s">
        <v>1243</v>
      </c>
      <c r="B66" s="108">
        <v>44927</v>
      </c>
      <c r="C66" s="108">
        <v>45291</v>
      </c>
      <c r="D66" s="109">
        <v>25000</v>
      </c>
      <c r="E66" s="110">
        <v>44927</v>
      </c>
      <c r="F66" s="213" t="s">
        <v>1040</v>
      </c>
      <c r="G66" s="110">
        <v>44992</v>
      </c>
      <c r="H66" s="111"/>
      <c r="J66" s="723" t="s">
        <v>1289</v>
      </c>
      <c r="K66" s="724"/>
      <c r="L66" s="724"/>
      <c r="M66" s="725"/>
    </row>
    <row r="67" spans="1:14" x14ac:dyDescent="0.25">
      <c r="A67" s="107" t="s">
        <v>1244</v>
      </c>
      <c r="B67" s="103">
        <v>44927</v>
      </c>
      <c r="C67" s="103">
        <v>45291</v>
      </c>
      <c r="D67" s="114">
        <v>7500</v>
      </c>
      <c r="E67" s="110">
        <v>44927</v>
      </c>
      <c r="F67" s="213" t="s">
        <v>1001</v>
      </c>
      <c r="G67" s="110">
        <v>44944</v>
      </c>
      <c r="H67" s="106"/>
      <c r="J67" s="112" t="s">
        <v>1006</v>
      </c>
      <c r="K67" s="528">
        <v>7500</v>
      </c>
      <c r="L67" s="96">
        <f>7500*11/12</f>
        <v>6875</v>
      </c>
      <c r="M67" s="529">
        <f t="shared" ref="M67:M73" si="5">K67-L67</f>
        <v>625</v>
      </c>
      <c r="N67" s="113" t="s">
        <v>1039</v>
      </c>
    </row>
    <row r="68" spans="1:14" x14ac:dyDescent="0.25">
      <c r="A68" s="107" t="s">
        <v>1245</v>
      </c>
      <c r="B68" s="108">
        <v>44927</v>
      </c>
      <c r="C68" s="108">
        <v>45291</v>
      </c>
      <c r="D68" s="114">
        <v>7500</v>
      </c>
      <c r="E68" s="110">
        <v>44927</v>
      </c>
      <c r="F68" s="213" t="s">
        <v>998</v>
      </c>
      <c r="G68" s="110">
        <v>44981</v>
      </c>
      <c r="H68" s="106"/>
      <c r="J68" s="115" t="s">
        <v>763</v>
      </c>
      <c r="K68" s="528">
        <v>7500</v>
      </c>
      <c r="L68" s="96">
        <v>7500</v>
      </c>
      <c r="M68" s="529">
        <f t="shared" si="5"/>
        <v>0</v>
      </c>
      <c r="N68" s="113" t="s">
        <v>1012</v>
      </c>
    </row>
    <row r="69" spans="1:14" x14ac:dyDescent="0.25">
      <c r="A69" s="107" t="s">
        <v>1246</v>
      </c>
      <c r="B69" s="108">
        <v>44927</v>
      </c>
      <c r="C69" s="108">
        <v>45291</v>
      </c>
      <c r="D69" s="114">
        <v>7500</v>
      </c>
      <c r="E69" s="110">
        <v>44927</v>
      </c>
      <c r="F69" s="213" t="s">
        <v>1089</v>
      </c>
      <c r="G69" s="531" t="s">
        <v>307</v>
      </c>
      <c r="H69" s="533" t="s">
        <v>1440</v>
      </c>
      <c r="J69" s="106" t="s">
        <v>925</v>
      </c>
      <c r="K69" s="528">
        <v>15000</v>
      </c>
      <c r="L69" s="96">
        <f>15000*8/12</f>
        <v>10000</v>
      </c>
      <c r="M69" s="529">
        <f t="shared" si="5"/>
        <v>5000</v>
      </c>
      <c r="N69" s="113" t="s">
        <v>1088</v>
      </c>
    </row>
    <row r="70" spans="1:14" x14ac:dyDescent="0.25">
      <c r="A70" s="107" t="s">
        <v>1247</v>
      </c>
      <c r="B70" s="108">
        <v>44958</v>
      </c>
      <c r="C70" s="108">
        <v>45322</v>
      </c>
      <c r="D70" s="114">
        <v>7500</v>
      </c>
      <c r="E70" s="110">
        <v>44958</v>
      </c>
      <c r="F70" s="213" t="s">
        <v>1041</v>
      </c>
      <c r="G70" s="110">
        <v>45057</v>
      </c>
      <c r="H70" s="106"/>
      <c r="J70" s="106" t="s">
        <v>651</v>
      </c>
      <c r="K70" s="528">
        <v>5000</v>
      </c>
      <c r="L70" s="96">
        <f>5000*8/12</f>
        <v>3333.3333333333335</v>
      </c>
      <c r="M70" s="529">
        <f t="shared" si="5"/>
        <v>1666.6666666666665</v>
      </c>
      <c r="N70" s="101" t="s">
        <v>1123</v>
      </c>
    </row>
    <row r="71" spans="1:14" x14ac:dyDescent="0.25">
      <c r="A71" s="107" t="s">
        <v>1249</v>
      </c>
      <c r="B71" s="108">
        <v>44958</v>
      </c>
      <c r="C71" s="108">
        <v>45322</v>
      </c>
      <c r="D71" s="114">
        <v>7500</v>
      </c>
      <c r="E71" s="110">
        <v>44958</v>
      </c>
      <c r="F71" s="213" t="s">
        <v>1042</v>
      </c>
      <c r="G71" s="110">
        <v>45048</v>
      </c>
      <c r="H71" s="106"/>
      <c r="J71" s="106" t="s">
        <v>1248</v>
      </c>
      <c r="K71" s="528">
        <v>7500</v>
      </c>
      <c r="L71" s="96">
        <f>7500*5/12</f>
        <v>3125</v>
      </c>
      <c r="M71" s="529">
        <f t="shared" si="5"/>
        <v>4375</v>
      </c>
      <c r="N71" s="101" t="s">
        <v>1203</v>
      </c>
    </row>
    <row r="72" spans="1:14" x14ac:dyDescent="0.25">
      <c r="A72" s="117" t="s">
        <v>1250</v>
      </c>
      <c r="B72" s="108">
        <v>44958</v>
      </c>
      <c r="C72" s="108">
        <v>45322</v>
      </c>
      <c r="D72" s="118">
        <v>7500</v>
      </c>
      <c r="E72" s="119">
        <v>44958</v>
      </c>
      <c r="F72" s="539" t="s">
        <v>1037</v>
      </c>
      <c r="G72" s="119">
        <v>45037</v>
      </c>
      <c r="H72" s="120"/>
      <c r="J72" s="527" t="s">
        <v>1356</v>
      </c>
      <c r="K72" s="528">
        <v>7500</v>
      </c>
      <c r="L72" s="96">
        <f>7500*1/12</f>
        <v>625</v>
      </c>
      <c r="M72" s="529">
        <f t="shared" si="5"/>
        <v>6875</v>
      </c>
      <c r="N72" s="538" t="s">
        <v>1357</v>
      </c>
    </row>
    <row r="73" spans="1:14" ht="15.75" thickBot="1" x14ac:dyDescent="0.3">
      <c r="A73" s="122" t="s">
        <v>1251</v>
      </c>
      <c r="B73" s="123">
        <v>44958</v>
      </c>
      <c r="C73" s="123">
        <v>45322</v>
      </c>
      <c r="D73" s="124">
        <v>7500</v>
      </c>
      <c r="E73" s="125">
        <v>44958</v>
      </c>
      <c r="F73" s="126" t="s">
        <v>1074</v>
      </c>
      <c r="G73" s="126">
        <v>45013</v>
      </c>
      <c r="H73" s="127"/>
      <c r="J73" s="527" t="s">
        <v>1395</v>
      </c>
      <c r="K73" s="528">
        <v>7500</v>
      </c>
      <c r="L73" s="96">
        <v>7500</v>
      </c>
      <c r="M73" s="529">
        <f t="shared" si="5"/>
        <v>0</v>
      </c>
      <c r="N73" s="538" t="s">
        <v>1012</v>
      </c>
    </row>
    <row r="74" spans="1:14" x14ac:dyDescent="0.25">
      <c r="A74" s="128" t="s">
        <v>1252</v>
      </c>
      <c r="B74" s="103">
        <v>44986</v>
      </c>
      <c r="C74" s="129">
        <v>45350</v>
      </c>
      <c r="D74" s="104">
        <v>7500</v>
      </c>
      <c r="E74" s="105">
        <v>44986</v>
      </c>
      <c r="F74" s="465" t="s">
        <v>1043</v>
      </c>
      <c r="G74" s="105">
        <v>44988</v>
      </c>
      <c r="H74" s="106"/>
      <c r="J74" s="106"/>
      <c r="K74" s="528"/>
      <c r="L74" s="96"/>
      <c r="M74" s="529"/>
    </row>
    <row r="75" spans="1:14" x14ac:dyDescent="0.25">
      <c r="A75" s="131" t="s">
        <v>1253</v>
      </c>
      <c r="B75" s="108">
        <v>44986</v>
      </c>
      <c r="C75" s="108">
        <v>45350</v>
      </c>
      <c r="D75" s="114">
        <v>7500</v>
      </c>
      <c r="E75" s="105">
        <v>44986</v>
      </c>
      <c r="F75" s="213" t="s">
        <v>1044</v>
      </c>
      <c r="G75" s="110">
        <v>44993</v>
      </c>
      <c r="H75" s="106"/>
      <c r="J75" s="107" t="s">
        <v>103</v>
      </c>
      <c r="K75" s="121">
        <f>SUM(K67:K74)</f>
        <v>57500</v>
      </c>
      <c r="L75" s="121">
        <f>SUM(L67:L74)</f>
        <v>38958.333333333328</v>
      </c>
      <c r="M75" s="121">
        <f>SUM(M67:M74)</f>
        <v>18541.666666666664</v>
      </c>
    </row>
    <row r="76" spans="1:14" ht="15.75" thickBot="1" x14ac:dyDescent="0.3">
      <c r="A76" s="122" t="s">
        <v>1254</v>
      </c>
      <c r="B76" s="123">
        <v>45016</v>
      </c>
      <c r="C76" s="123">
        <v>45381</v>
      </c>
      <c r="D76" s="124">
        <v>7500</v>
      </c>
      <c r="E76" s="125">
        <v>44986</v>
      </c>
      <c r="F76" s="126" t="s">
        <v>1045</v>
      </c>
      <c r="G76" s="125">
        <v>45035</v>
      </c>
      <c r="H76" s="136"/>
      <c r="J76" s="106"/>
      <c r="K76" s="528"/>
      <c r="L76" s="96"/>
      <c r="M76" s="529"/>
    </row>
    <row r="77" spans="1:14" ht="15.75" thickBot="1" x14ac:dyDescent="0.3">
      <c r="A77" s="140" t="s">
        <v>1255</v>
      </c>
      <c r="B77" s="141">
        <v>45017</v>
      </c>
      <c r="C77" s="141">
        <v>45382</v>
      </c>
      <c r="D77" s="142">
        <v>11500</v>
      </c>
      <c r="E77" s="143">
        <v>45017</v>
      </c>
      <c r="F77" s="630" t="s">
        <v>1117</v>
      </c>
      <c r="G77" s="143">
        <v>45057</v>
      </c>
      <c r="H77" s="144"/>
      <c r="J77" s="120"/>
      <c r="K77" s="540"/>
      <c r="L77" s="130"/>
      <c r="M77" s="541"/>
    </row>
    <row r="78" spans="1:14" ht="15.75" thickBot="1" x14ac:dyDescent="0.3">
      <c r="A78" s="107" t="s">
        <v>1256</v>
      </c>
      <c r="B78" s="108">
        <v>45017</v>
      </c>
      <c r="C78" s="108">
        <v>45382</v>
      </c>
      <c r="D78" s="114">
        <v>7500</v>
      </c>
      <c r="E78" s="110">
        <v>45017</v>
      </c>
      <c r="F78" s="213" t="s">
        <v>1090</v>
      </c>
      <c r="G78" s="110">
        <v>45077</v>
      </c>
      <c r="H78" s="106"/>
      <c r="J78" s="132" t="s">
        <v>1290</v>
      </c>
      <c r="K78" s="133"/>
      <c r="L78" s="134" t="s">
        <v>1291</v>
      </c>
      <c r="M78" s="135" t="s">
        <v>1292</v>
      </c>
    </row>
    <row r="79" spans="1:14" x14ac:dyDescent="0.25">
      <c r="A79" s="107" t="s">
        <v>1257</v>
      </c>
      <c r="B79" s="108">
        <v>45017</v>
      </c>
      <c r="C79" s="108">
        <v>45382</v>
      </c>
      <c r="D79" s="114">
        <v>7500</v>
      </c>
      <c r="E79" s="110">
        <v>45017</v>
      </c>
      <c r="F79" s="213" t="s">
        <v>1122</v>
      </c>
      <c r="G79" s="110">
        <v>45077</v>
      </c>
      <c r="H79" s="148"/>
      <c r="J79" s="137" t="s">
        <v>1156</v>
      </c>
      <c r="K79" s="138"/>
      <c r="L79" s="138">
        <v>3500</v>
      </c>
      <c r="M79" s="139" t="s">
        <v>1293</v>
      </c>
    </row>
    <row r="80" spans="1:14" ht="15.75" thickBot="1" x14ac:dyDescent="0.3">
      <c r="A80" s="149" t="s">
        <v>1258</v>
      </c>
      <c r="B80" s="150">
        <v>45031</v>
      </c>
      <c r="C80" s="150">
        <v>45396</v>
      </c>
      <c r="D80" s="151">
        <v>5000</v>
      </c>
      <c r="E80" s="152">
        <v>45031</v>
      </c>
      <c r="F80" s="622" t="s">
        <v>1103</v>
      </c>
      <c r="G80" s="125">
        <v>45057</v>
      </c>
      <c r="H80" s="136"/>
      <c r="J80" s="145" t="s">
        <v>1155</v>
      </c>
      <c r="K80" s="146"/>
      <c r="L80" s="146">
        <v>3500</v>
      </c>
      <c r="M80" s="147" t="s">
        <v>1294</v>
      </c>
    </row>
    <row r="81" spans="1:14" ht="15.75" thickBot="1" x14ac:dyDescent="0.3">
      <c r="A81" s="153" t="s">
        <v>1259</v>
      </c>
      <c r="B81" s="150">
        <v>45047</v>
      </c>
      <c r="C81" s="150">
        <v>45412</v>
      </c>
      <c r="D81" s="151">
        <v>15000</v>
      </c>
      <c r="E81" s="152">
        <v>45047</v>
      </c>
      <c r="F81" s="622" t="s">
        <v>1087</v>
      </c>
      <c r="G81" s="152">
        <v>45043</v>
      </c>
      <c r="H81" s="154"/>
      <c r="J81" s="145" t="s">
        <v>1295</v>
      </c>
      <c r="K81" s="146"/>
      <c r="L81" s="146">
        <v>5000</v>
      </c>
      <c r="M81" s="106" t="s">
        <v>1296</v>
      </c>
    </row>
    <row r="82" spans="1:14" x14ac:dyDescent="0.25">
      <c r="A82" s="128" t="s">
        <v>1260</v>
      </c>
      <c r="B82" s="103">
        <v>45108</v>
      </c>
      <c r="C82" s="103">
        <v>45473</v>
      </c>
      <c r="D82" s="104">
        <v>7500</v>
      </c>
      <c r="E82" s="105">
        <v>45108</v>
      </c>
      <c r="F82" s="465" t="s">
        <v>1166</v>
      </c>
      <c r="G82" s="105">
        <v>45182</v>
      </c>
      <c r="H82" s="155"/>
      <c r="J82" s="115" t="s">
        <v>1297</v>
      </c>
      <c r="K82" s="528"/>
      <c r="L82" s="96">
        <v>2525</v>
      </c>
      <c r="M82" s="106" t="s">
        <v>1298</v>
      </c>
    </row>
    <row r="83" spans="1:14" ht="15.75" thickBot="1" x14ac:dyDescent="0.3">
      <c r="A83" s="156" t="s">
        <v>1261</v>
      </c>
      <c r="B83" s="123">
        <v>45108</v>
      </c>
      <c r="C83" s="123">
        <v>45473</v>
      </c>
      <c r="D83" s="124">
        <v>11500</v>
      </c>
      <c r="E83" s="125">
        <v>45108</v>
      </c>
      <c r="F83" s="126" t="s">
        <v>1198</v>
      </c>
      <c r="G83" s="125">
        <v>45191</v>
      </c>
      <c r="H83" s="157"/>
      <c r="J83" s="115" t="s">
        <v>1229</v>
      </c>
      <c r="K83" s="528"/>
      <c r="L83" s="96">
        <v>2525</v>
      </c>
      <c r="M83" s="106" t="s">
        <v>1298</v>
      </c>
    </row>
    <row r="84" spans="1:14" x14ac:dyDescent="0.25">
      <c r="A84" s="128" t="s">
        <v>1262</v>
      </c>
      <c r="B84" s="103">
        <v>45139</v>
      </c>
      <c r="C84" s="103">
        <v>45504</v>
      </c>
      <c r="D84" s="104">
        <v>7500</v>
      </c>
      <c r="E84" s="105">
        <v>45139</v>
      </c>
      <c r="F84" s="465" t="s">
        <v>1153</v>
      </c>
      <c r="G84" s="105">
        <v>45141</v>
      </c>
      <c r="H84" s="158"/>
      <c r="J84" s="115" t="s">
        <v>1231</v>
      </c>
      <c r="K84" s="528"/>
      <c r="L84" s="96">
        <v>2525</v>
      </c>
      <c r="M84" s="106" t="s">
        <v>1298</v>
      </c>
    </row>
    <row r="85" spans="1:14" x14ac:dyDescent="0.25">
      <c r="A85" s="159" t="s">
        <v>1263</v>
      </c>
      <c r="B85" s="160">
        <v>45139</v>
      </c>
      <c r="C85" s="160">
        <v>45504</v>
      </c>
      <c r="D85" s="161">
        <v>7500</v>
      </c>
      <c r="E85" s="110"/>
      <c r="F85" s="213" t="s">
        <v>1441</v>
      </c>
      <c r="G85" s="110">
        <v>45328</v>
      </c>
      <c r="H85" s="162" t="s">
        <v>1442</v>
      </c>
      <c r="J85" s="115" t="s">
        <v>730</v>
      </c>
      <c r="K85" s="528"/>
      <c r="L85" s="96">
        <v>10000</v>
      </c>
      <c r="M85" s="106" t="s">
        <v>1299</v>
      </c>
      <c r="N85" s="101" t="s">
        <v>1300</v>
      </c>
    </row>
    <row r="86" spans="1:14" x14ac:dyDescent="0.25">
      <c r="A86" s="214" t="s">
        <v>1264</v>
      </c>
      <c r="B86" s="108">
        <v>45139</v>
      </c>
      <c r="C86" s="108">
        <v>45504</v>
      </c>
      <c r="D86" s="114">
        <v>7500</v>
      </c>
      <c r="E86" s="110">
        <v>45139</v>
      </c>
      <c r="F86" s="213" t="s">
        <v>1204</v>
      </c>
      <c r="G86" s="110">
        <v>45259</v>
      </c>
      <c r="H86" s="111"/>
      <c r="J86" s="115"/>
      <c r="K86" s="528"/>
      <c r="L86" s="96"/>
      <c r="M86" s="106"/>
    </row>
    <row r="87" spans="1:14" x14ac:dyDescent="0.25">
      <c r="A87" s="107" t="s">
        <v>1266</v>
      </c>
      <c r="B87" s="108">
        <v>45139</v>
      </c>
      <c r="C87" s="108">
        <v>45504</v>
      </c>
      <c r="D87" s="109">
        <v>7500</v>
      </c>
      <c r="E87" s="110">
        <v>45139</v>
      </c>
      <c r="F87" s="213" t="s">
        <v>1239</v>
      </c>
      <c r="G87" s="110">
        <v>45191</v>
      </c>
      <c r="H87" s="164"/>
      <c r="J87" s="115"/>
      <c r="K87" s="528"/>
      <c r="L87" s="96"/>
      <c r="M87" s="529"/>
    </row>
    <row r="88" spans="1:14" ht="15.75" thickBot="1" x14ac:dyDescent="0.3">
      <c r="A88" s="165" t="s">
        <v>1267</v>
      </c>
      <c r="B88" s="123">
        <v>45139</v>
      </c>
      <c r="C88" s="123">
        <v>45504</v>
      </c>
      <c r="D88" s="166">
        <v>11500</v>
      </c>
      <c r="E88" s="125">
        <v>45139</v>
      </c>
      <c r="F88" s="126" t="s">
        <v>1205</v>
      </c>
      <c r="G88" s="125">
        <v>45217</v>
      </c>
      <c r="H88" s="167"/>
      <c r="J88" s="107" t="s">
        <v>1</v>
      </c>
      <c r="K88" s="57">
        <f>SUM(K79:K81)</f>
        <v>0</v>
      </c>
      <c r="L88" s="57">
        <f>SUM(L79:L85)</f>
        <v>29575</v>
      </c>
      <c r="M88" s="57">
        <f>SUM(M79:M81)</f>
        <v>0</v>
      </c>
    </row>
    <row r="89" spans="1:14" x14ac:dyDescent="0.25">
      <c r="A89" s="128" t="s">
        <v>1268</v>
      </c>
      <c r="B89" s="103">
        <v>45170</v>
      </c>
      <c r="C89" s="129">
        <v>45535</v>
      </c>
      <c r="D89" s="168">
        <v>7500</v>
      </c>
      <c r="E89" s="105">
        <v>45170</v>
      </c>
      <c r="F89" s="465" t="s">
        <v>1206</v>
      </c>
      <c r="G89" s="105">
        <v>45296</v>
      </c>
      <c r="H89" s="111"/>
      <c r="J89" s="163"/>
      <c r="K89" s="58"/>
      <c r="L89" s="58"/>
      <c r="M89" s="58"/>
    </row>
    <row r="90" spans="1:14" x14ac:dyDescent="0.25">
      <c r="A90" s="107" t="s">
        <v>1269</v>
      </c>
      <c r="B90" s="108">
        <v>45170</v>
      </c>
      <c r="C90" s="170">
        <v>45535</v>
      </c>
      <c r="D90" s="114">
        <v>7500</v>
      </c>
      <c r="E90" s="110">
        <v>45170</v>
      </c>
      <c r="F90" s="213" t="s">
        <v>1207</v>
      </c>
      <c r="G90" s="110">
        <v>45194</v>
      </c>
      <c r="H90" s="148"/>
    </row>
    <row r="91" spans="1:14" x14ac:dyDescent="0.25">
      <c r="A91" s="172" t="s">
        <v>1270</v>
      </c>
      <c r="B91" s="108">
        <v>45170</v>
      </c>
      <c r="C91" s="170">
        <v>45535</v>
      </c>
      <c r="D91" s="109">
        <v>25000</v>
      </c>
      <c r="E91" s="110">
        <v>45170</v>
      </c>
      <c r="F91" s="213" t="s">
        <v>1301</v>
      </c>
      <c r="G91" s="110">
        <v>45264</v>
      </c>
      <c r="H91" s="164"/>
      <c r="J91" s="41" t="s">
        <v>1002</v>
      </c>
      <c r="K91" s="41" t="s">
        <v>204</v>
      </c>
      <c r="L91" s="41" t="s">
        <v>782</v>
      </c>
      <c r="M91" s="41" t="s">
        <v>1003</v>
      </c>
    </row>
    <row r="92" spans="1:14" ht="15.75" thickBot="1" x14ac:dyDescent="0.3">
      <c r="A92" s="173" t="s">
        <v>1271</v>
      </c>
      <c r="B92" s="123">
        <v>45170</v>
      </c>
      <c r="C92" s="174">
        <v>45535</v>
      </c>
      <c r="D92" s="124">
        <v>7500</v>
      </c>
      <c r="E92" s="125">
        <v>45170</v>
      </c>
      <c r="F92" s="126" t="s">
        <v>1272</v>
      </c>
      <c r="G92" s="125">
        <v>45243</v>
      </c>
      <c r="H92" s="164"/>
      <c r="J92" s="169"/>
      <c r="K92" s="169"/>
      <c r="L92" s="59"/>
      <c r="M92" s="529"/>
    </row>
    <row r="93" spans="1:14" x14ac:dyDescent="0.25">
      <c r="A93" s="427" t="s">
        <v>1273</v>
      </c>
      <c r="B93" s="170">
        <v>45200</v>
      </c>
      <c r="C93" s="108">
        <v>45565</v>
      </c>
      <c r="D93" s="114">
        <v>11500</v>
      </c>
      <c r="E93" s="110"/>
      <c r="F93" s="465"/>
      <c r="G93" s="110"/>
      <c r="H93" s="111" t="s">
        <v>1443</v>
      </c>
      <c r="J93" s="112" t="s">
        <v>166</v>
      </c>
      <c r="K93" s="528">
        <v>7500</v>
      </c>
      <c r="L93" s="97">
        <f>K93*11/12</f>
        <v>6875</v>
      </c>
      <c r="M93" s="529">
        <f t="shared" ref="M93:M100" si="6">K93-L93</f>
        <v>625</v>
      </c>
      <c r="N93" s="171" t="s">
        <v>1039</v>
      </c>
    </row>
    <row r="94" spans="1:14" x14ac:dyDescent="0.25">
      <c r="A94" s="107" t="s">
        <v>1274</v>
      </c>
      <c r="B94" s="108">
        <v>45231</v>
      </c>
      <c r="C94" s="108">
        <v>45596</v>
      </c>
      <c r="D94" s="114">
        <v>11500</v>
      </c>
      <c r="E94" s="110">
        <v>45231</v>
      </c>
      <c r="F94" s="213" t="s">
        <v>1315</v>
      </c>
      <c r="G94" s="547">
        <v>45399</v>
      </c>
      <c r="H94" s="162" t="s">
        <v>1358</v>
      </c>
      <c r="J94" s="106" t="s">
        <v>1104</v>
      </c>
      <c r="K94" s="528">
        <v>7500</v>
      </c>
      <c r="L94" s="97">
        <f>K94*10/12</f>
        <v>6250</v>
      </c>
      <c r="M94" s="529">
        <f t="shared" si="6"/>
        <v>1250</v>
      </c>
      <c r="N94" s="171" t="s">
        <v>1105</v>
      </c>
    </row>
    <row r="95" spans="1:14" ht="15.75" thickBot="1" x14ac:dyDescent="0.3">
      <c r="A95" s="455" t="s">
        <v>1276</v>
      </c>
      <c r="B95" s="456">
        <v>45231</v>
      </c>
      <c r="C95" s="456">
        <v>45596</v>
      </c>
      <c r="D95" s="457">
        <v>7500</v>
      </c>
      <c r="E95" s="458"/>
      <c r="F95" s="126"/>
      <c r="G95" s="458"/>
      <c r="H95" s="459" t="s">
        <v>1396</v>
      </c>
      <c r="J95" s="106" t="s">
        <v>220</v>
      </c>
      <c r="K95" s="528">
        <v>7500</v>
      </c>
      <c r="L95" s="97">
        <f>7500*6/12</f>
        <v>3750</v>
      </c>
      <c r="M95" s="529">
        <f t="shared" si="6"/>
        <v>3750</v>
      </c>
      <c r="N95" s="101" t="s">
        <v>1167</v>
      </c>
    </row>
    <row r="96" spans="1:14" x14ac:dyDescent="0.25">
      <c r="A96" s="428" t="s">
        <v>1277</v>
      </c>
      <c r="B96" s="484">
        <v>45261</v>
      </c>
      <c r="C96" s="484">
        <v>45626</v>
      </c>
      <c r="D96" s="485">
        <v>7500</v>
      </c>
      <c r="E96" s="466">
        <v>45292</v>
      </c>
      <c r="F96" s="614" t="s">
        <v>1527</v>
      </c>
      <c r="G96" s="466">
        <v>45384</v>
      </c>
      <c r="H96" s="180"/>
      <c r="J96" s="175" t="s">
        <v>1265</v>
      </c>
      <c r="K96" s="528">
        <v>7500</v>
      </c>
      <c r="L96" s="97">
        <f>K96*8/12</f>
        <v>5000</v>
      </c>
      <c r="M96" s="529">
        <f t="shared" si="6"/>
        <v>2500</v>
      </c>
      <c r="N96" s="101" t="s">
        <v>1088</v>
      </c>
    </row>
    <row r="97" spans="1:15" x14ac:dyDescent="0.25">
      <c r="A97" s="454" t="s">
        <v>1278</v>
      </c>
      <c r="B97" s="108">
        <v>45261</v>
      </c>
      <c r="C97" s="108">
        <v>45626</v>
      </c>
      <c r="D97" s="114">
        <v>11500</v>
      </c>
      <c r="E97" s="110">
        <v>45261</v>
      </c>
      <c r="F97" s="213" t="s">
        <v>1359</v>
      </c>
      <c r="G97" s="110">
        <v>45295</v>
      </c>
      <c r="H97" s="180"/>
      <c r="J97" s="176" t="s">
        <v>653</v>
      </c>
      <c r="K97" s="528">
        <v>7500</v>
      </c>
      <c r="L97" s="97">
        <f>K97*5/12</f>
        <v>3125</v>
      </c>
      <c r="M97" s="529">
        <f t="shared" si="6"/>
        <v>4375</v>
      </c>
      <c r="N97" s="101" t="s">
        <v>1203</v>
      </c>
      <c r="O97" s="204" t="s">
        <v>1399</v>
      </c>
    </row>
    <row r="98" spans="1:15" x14ac:dyDescent="0.25">
      <c r="A98" s="131" t="s">
        <v>1279</v>
      </c>
      <c r="B98" s="108">
        <v>45261</v>
      </c>
      <c r="C98" s="108">
        <v>45626</v>
      </c>
      <c r="D98" s="114">
        <v>7500</v>
      </c>
      <c r="E98" s="110">
        <v>45261</v>
      </c>
      <c r="F98" s="213" t="s">
        <v>1318</v>
      </c>
      <c r="G98" s="110">
        <v>45313</v>
      </c>
      <c r="H98" s="467"/>
      <c r="J98" s="176" t="s">
        <v>1397</v>
      </c>
      <c r="K98" s="528">
        <v>7500</v>
      </c>
      <c r="L98" s="96">
        <f>K98*5/12</f>
        <v>3125</v>
      </c>
      <c r="M98" s="529">
        <f t="shared" si="6"/>
        <v>4375</v>
      </c>
      <c r="N98" s="101" t="s">
        <v>1203</v>
      </c>
      <c r="O98" s="182" t="s">
        <v>1305</v>
      </c>
    </row>
    <row r="99" spans="1:15" x14ac:dyDescent="0.25">
      <c r="A99" s="131" t="s">
        <v>1280</v>
      </c>
      <c r="B99" s="108">
        <v>45261</v>
      </c>
      <c r="C99" s="108">
        <v>45626</v>
      </c>
      <c r="D99" s="114">
        <v>11500</v>
      </c>
      <c r="E99" s="110">
        <v>45261</v>
      </c>
      <c r="F99" s="213" t="s">
        <v>1360</v>
      </c>
      <c r="G99" s="110">
        <v>45271</v>
      </c>
      <c r="H99" s="180"/>
      <c r="J99" s="176" t="s">
        <v>1395</v>
      </c>
      <c r="K99" s="169">
        <v>7500</v>
      </c>
      <c r="L99" s="59">
        <v>7500</v>
      </c>
      <c r="M99" s="529">
        <f t="shared" si="6"/>
        <v>0</v>
      </c>
      <c r="N99" s="538" t="s">
        <v>1012</v>
      </c>
    </row>
    <row r="100" spans="1:15" x14ac:dyDescent="0.25">
      <c r="A100" s="131" t="s">
        <v>1281</v>
      </c>
      <c r="B100" s="108">
        <v>45261</v>
      </c>
      <c r="C100" s="108">
        <v>45626</v>
      </c>
      <c r="D100" s="114">
        <v>7500</v>
      </c>
      <c r="E100" s="110"/>
      <c r="F100" s="213" t="s">
        <v>1444</v>
      </c>
      <c r="G100" s="531">
        <v>45335</v>
      </c>
      <c r="H100" s="533" t="s">
        <v>1445</v>
      </c>
      <c r="J100" s="106" t="s">
        <v>171</v>
      </c>
      <c r="K100" s="169">
        <v>7500</v>
      </c>
      <c r="L100" s="59">
        <f>7500*2/12</f>
        <v>1250</v>
      </c>
      <c r="M100" s="529">
        <f t="shared" si="6"/>
        <v>6250</v>
      </c>
      <c r="N100" s="538" t="s">
        <v>1398</v>
      </c>
    </row>
    <row r="101" spans="1:15" x14ac:dyDescent="0.25">
      <c r="A101" s="454" t="s">
        <v>1344</v>
      </c>
      <c r="B101" s="545">
        <v>45261</v>
      </c>
      <c r="C101" s="545">
        <v>45626</v>
      </c>
      <c r="D101" s="546">
        <v>7500</v>
      </c>
      <c r="E101" s="547">
        <v>45246</v>
      </c>
      <c r="F101" s="548" t="s">
        <v>1345</v>
      </c>
      <c r="G101" s="547">
        <v>45382</v>
      </c>
      <c r="H101" s="549" t="s">
        <v>1546</v>
      </c>
      <c r="J101" s="527"/>
      <c r="K101" s="169"/>
      <c r="L101" s="59"/>
      <c r="M101" s="529"/>
      <c r="N101" s="538"/>
    </row>
    <row r="102" spans="1:15" x14ac:dyDescent="0.25">
      <c r="A102" s="185" t="s">
        <v>1400</v>
      </c>
      <c r="B102" s="186"/>
      <c r="C102" s="186"/>
      <c r="D102" s="187">
        <f>SUM(D65:D101)</f>
        <v>345500</v>
      </c>
      <c r="E102" s="542"/>
      <c r="F102" s="626"/>
      <c r="G102" s="188"/>
      <c r="H102" s="189"/>
      <c r="J102" s="107" t="s">
        <v>1</v>
      </c>
      <c r="K102" s="178">
        <f>SUM(K92:K100)</f>
        <v>60000</v>
      </c>
      <c r="L102" s="178">
        <f t="shared" ref="L102:M102" si="7">SUM(L92:L100)</f>
        <v>36875</v>
      </c>
      <c r="M102" s="178">
        <f t="shared" si="7"/>
        <v>23125</v>
      </c>
      <c r="O102" s="199"/>
    </row>
    <row r="103" spans="1:15" x14ac:dyDescent="0.25">
      <c r="A103" s="190" t="s">
        <v>1282</v>
      </c>
      <c r="B103" s="191"/>
      <c r="C103" s="191"/>
      <c r="D103" s="192">
        <f>+D102/12</f>
        <v>28791.666666666668</v>
      </c>
      <c r="E103" s="193" t="s">
        <v>1011</v>
      </c>
      <c r="F103" s="462"/>
      <c r="G103" s="193"/>
      <c r="O103" s="199"/>
    </row>
    <row r="104" spans="1:15" x14ac:dyDescent="0.25">
      <c r="A104" s="194" t="s">
        <v>1127</v>
      </c>
      <c r="B104" s="194"/>
      <c r="J104" s="100" t="s">
        <v>1302</v>
      </c>
      <c r="K104" s="100" t="s">
        <v>1303</v>
      </c>
      <c r="L104" s="100" t="s">
        <v>204</v>
      </c>
      <c r="M104" s="100" t="s">
        <v>202</v>
      </c>
      <c r="N104" s="181" t="s">
        <v>1304</v>
      </c>
      <c r="O104" s="199"/>
    </row>
    <row r="105" spans="1:15" x14ac:dyDescent="0.25">
      <c r="J105" s="106"/>
      <c r="K105" s="196"/>
      <c r="L105" s="184"/>
      <c r="M105" s="106"/>
      <c r="O105" s="199"/>
    </row>
    <row r="106" spans="1:15" x14ac:dyDescent="0.25">
      <c r="A106" s="99" t="s">
        <v>198</v>
      </c>
      <c r="B106" s="99" t="s">
        <v>199</v>
      </c>
      <c r="C106" s="99" t="s">
        <v>145</v>
      </c>
      <c r="D106" s="99" t="s">
        <v>200</v>
      </c>
      <c r="E106" s="100" t="s">
        <v>148</v>
      </c>
      <c r="F106" s="613" t="s">
        <v>146</v>
      </c>
      <c r="G106" s="100" t="s">
        <v>201</v>
      </c>
      <c r="H106" s="99" t="s">
        <v>202</v>
      </c>
      <c r="J106" s="200" t="s">
        <v>1283</v>
      </c>
      <c r="K106" s="200" t="s">
        <v>194</v>
      </c>
      <c r="L106" s="184">
        <v>5000</v>
      </c>
      <c r="M106" s="210" t="s">
        <v>1436</v>
      </c>
      <c r="O106" s="199"/>
    </row>
    <row r="107" spans="1:15" x14ac:dyDescent="0.25">
      <c r="A107" s="102" t="s">
        <v>174</v>
      </c>
      <c r="B107" s="103">
        <v>44562</v>
      </c>
      <c r="C107" s="103">
        <v>44926</v>
      </c>
      <c r="D107" s="104">
        <v>7500</v>
      </c>
      <c r="E107" s="105">
        <v>44562</v>
      </c>
      <c r="F107" s="465" t="s">
        <v>779</v>
      </c>
      <c r="G107" s="105">
        <v>44678</v>
      </c>
      <c r="H107" s="197"/>
      <c r="J107" s="200" t="s">
        <v>1446</v>
      </c>
      <c r="K107" s="200" t="s">
        <v>1307</v>
      </c>
      <c r="L107" s="184">
        <v>7500</v>
      </c>
      <c r="M107" s="198" t="s">
        <v>1401</v>
      </c>
      <c r="N107" s="191"/>
      <c r="O107" s="199"/>
    </row>
    <row r="108" spans="1:15" x14ac:dyDescent="0.25">
      <c r="A108" s="107" t="s">
        <v>179</v>
      </c>
      <c r="B108" s="108">
        <v>44562</v>
      </c>
      <c r="C108" s="108">
        <v>44926</v>
      </c>
      <c r="D108" s="114">
        <v>28000</v>
      </c>
      <c r="E108" s="110">
        <v>44562</v>
      </c>
      <c r="F108" s="213" t="s">
        <v>797</v>
      </c>
      <c r="G108" s="110">
        <v>44677</v>
      </c>
      <c r="H108" s="197"/>
      <c r="O108" s="199"/>
    </row>
    <row r="109" spans="1:15" x14ac:dyDescent="0.25">
      <c r="A109" s="107" t="s">
        <v>160</v>
      </c>
      <c r="B109" s="103">
        <v>44562</v>
      </c>
      <c r="C109" s="103">
        <v>44926</v>
      </c>
      <c r="D109" s="114">
        <v>7500</v>
      </c>
      <c r="E109" s="110">
        <v>44562</v>
      </c>
      <c r="F109" s="213" t="s">
        <v>780</v>
      </c>
      <c r="G109" s="110">
        <v>44600</v>
      </c>
      <c r="H109" s="106"/>
      <c r="J109" s="107" t="s">
        <v>1309</v>
      </c>
      <c r="K109" s="107"/>
      <c r="L109" s="60">
        <f>SUM(L105:L108)</f>
        <v>12500</v>
      </c>
      <c r="M109" s="106"/>
      <c r="O109" s="191"/>
    </row>
    <row r="110" spans="1:15" x14ac:dyDescent="0.25">
      <c r="A110" s="107" t="s">
        <v>623</v>
      </c>
      <c r="B110" s="108">
        <v>44562</v>
      </c>
      <c r="C110" s="108">
        <v>44926</v>
      </c>
      <c r="D110" s="114">
        <v>7500</v>
      </c>
      <c r="E110" s="110">
        <v>44564</v>
      </c>
      <c r="F110" s="213" t="s">
        <v>656</v>
      </c>
      <c r="G110" s="110">
        <v>44614</v>
      </c>
      <c r="H110" s="106"/>
      <c r="J110" s="203"/>
      <c r="K110" s="204"/>
      <c r="L110" s="205"/>
      <c r="M110" s="204"/>
      <c r="O110" s="191"/>
    </row>
    <row r="111" spans="1:15" x14ac:dyDescent="0.25">
      <c r="A111" s="107" t="s">
        <v>156</v>
      </c>
      <c r="B111" s="108">
        <v>44593</v>
      </c>
      <c r="C111" s="108">
        <v>44957</v>
      </c>
      <c r="D111" s="114">
        <v>7500</v>
      </c>
      <c r="E111" s="110">
        <v>44593</v>
      </c>
      <c r="F111" s="213" t="s">
        <v>799</v>
      </c>
      <c r="G111" s="110">
        <v>44704</v>
      </c>
      <c r="H111" s="106"/>
      <c r="J111" s="99" t="s">
        <v>1361</v>
      </c>
      <c r="K111" s="206"/>
      <c r="L111" s="100" t="s">
        <v>204</v>
      </c>
      <c r="M111" s="100" t="s">
        <v>202</v>
      </c>
      <c r="O111" s="191"/>
    </row>
    <row r="112" spans="1:15" x14ac:dyDescent="0.25">
      <c r="A112" s="107" t="s">
        <v>158</v>
      </c>
      <c r="B112" s="108">
        <v>44593</v>
      </c>
      <c r="C112" s="108">
        <v>44957</v>
      </c>
      <c r="D112" s="114">
        <v>7500</v>
      </c>
      <c r="E112" s="110">
        <v>44545</v>
      </c>
      <c r="F112" s="213" t="s">
        <v>775</v>
      </c>
      <c r="G112" s="110">
        <v>44584</v>
      </c>
      <c r="H112" s="106"/>
      <c r="J112" s="115" t="s">
        <v>934</v>
      </c>
      <c r="K112" s="106" t="s">
        <v>1004</v>
      </c>
      <c r="L112" s="184">
        <v>7500</v>
      </c>
      <c r="M112" s="106" t="s">
        <v>1005</v>
      </c>
      <c r="O112" s="199"/>
    </row>
    <row r="113" spans="1:14" x14ac:dyDescent="0.25">
      <c r="A113" s="107" t="s">
        <v>166</v>
      </c>
      <c r="B113" s="108">
        <v>44593</v>
      </c>
      <c r="C113" s="108">
        <v>44957</v>
      </c>
      <c r="D113" s="109">
        <v>7500</v>
      </c>
      <c r="E113" s="110">
        <v>44592</v>
      </c>
      <c r="F113" s="213" t="s">
        <v>800</v>
      </c>
      <c r="G113" s="110">
        <v>44669</v>
      </c>
      <c r="H113" s="106"/>
      <c r="J113" s="106" t="s">
        <v>934</v>
      </c>
      <c r="K113" s="112" t="s">
        <v>1010</v>
      </c>
      <c r="L113" s="184">
        <v>7500</v>
      </c>
      <c r="M113" s="196" t="s">
        <v>1081</v>
      </c>
    </row>
    <row r="114" spans="1:14" x14ac:dyDescent="0.25">
      <c r="A114" s="131" t="s">
        <v>520</v>
      </c>
      <c r="B114" s="108">
        <v>44593</v>
      </c>
      <c r="C114" s="108">
        <v>44957</v>
      </c>
      <c r="D114" s="114">
        <v>7500</v>
      </c>
      <c r="E114" s="110">
        <v>44593</v>
      </c>
      <c r="F114" s="632" t="s">
        <v>801</v>
      </c>
      <c r="G114" s="110">
        <v>44638</v>
      </c>
      <c r="H114" s="106"/>
      <c r="J114" s="106" t="s">
        <v>934</v>
      </c>
      <c r="K114" s="112" t="s">
        <v>1046</v>
      </c>
      <c r="L114" s="184">
        <v>7500</v>
      </c>
      <c r="M114" s="196" t="s">
        <v>1047</v>
      </c>
    </row>
    <row r="115" spans="1:14" x14ac:dyDescent="0.25">
      <c r="A115" s="107" t="s">
        <v>105</v>
      </c>
      <c r="B115" s="108">
        <v>44621</v>
      </c>
      <c r="C115" s="170">
        <v>44985</v>
      </c>
      <c r="D115" s="114">
        <v>7500</v>
      </c>
      <c r="E115" s="110">
        <v>44621</v>
      </c>
      <c r="F115" s="213" t="s">
        <v>802</v>
      </c>
      <c r="G115" s="201">
        <v>44631</v>
      </c>
      <c r="H115" s="106"/>
      <c r="J115" s="106" t="s">
        <v>934</v>
      </c>
      <c r="K115" s="106" t="s">
        <v>970</v>
      </c>
      <c r="L115" s="184">
        <v>7500</v>
      </c>
      <c r="M115" s="210" t="s">
        <v>1008</v>
      </c>
    </row>
    <row r="116" spans="1:14" x14ac:dyDescent="0.25">
      <c r="A116" s="107" t="s">
        <v>689</v>
      </c>
      <c r="B116" s="108">
        <v>44621</v>
      </c>
      <c r="C116" s="170">
        <v>44985</v>
      </c>
      <c r="D116" s="114">
        <v>7500</v>
      </c>
      <c r="E116" s="110">
        <v>44621</v>
      </c>
      <c r="F116" s="213" t="s">
        <v>795</v>
      </c>
      <c r="G116" s="110">
        <v>44607</v>
      </c>
      <c r="H116" s="106"/>
      <c r="J116" s="106" t="s">
        <v>934</v>
      </c>
      <c r="K116" s="112" t="s">
        <v>1048</v>
      </c>
      <c r="L116" s="184">
        <v>7500</v>
      </c>
      <c r="M116" s="196" t="s">
        <v>1158</v>
      </c>
    </row>
    <row r="117" spans="1:14" x14ac:dyDescent="0.25">
      <c r="A117" s="131" t="s">
        <v>546</v>
      </c>
      <c r="B117" s="108">
        <v>44621</v>
      </c>
      <c r="C117" s="108">
        <v>44985</v>
      </c>
      <c r="D117" s="114">
        <v>7500</v>
      </c>
      <c r="E117" s="110">
        <v>44621</v>
      </c>
      <c r="F117" s="213" t="s">
        <v>803</v>
      </c>
      <c r="G117" s="110">
        <v>44672</v>
      </c>
      <c r="H117" s="106"/>
      <c r="J117" s="106" t="s">
        <v>1051</v>
      </c>
      <c r="K117" s="112" t="s">
        <v>1050</v>
      </c>
      <c r="L117" s="184">
        <v>7500</v>
      </c>
      <c r="M117" s="106" t="s">
        <v>1075</v>
      </c>
      <c r="N117" s="113"/>
    </row>
    <row r="118" spans="1:14" x14ac:dyDescent="0.25">
      <c r="A118" s="131" t="s">
        <v>792</v>
      </c>
      <c r="B118" s="108">
        <v>44651</v>
      </c>
      <c r="C118" s="108">
        <v>45015</v>
      </c>
      <c r="D118" s="114">
        <v>7500</v>
      </c>
      <c r="E118" s="110">
        <v>44621</v>
      </c>
      <c r="F118" s="213" t="s">
        <v>793</v>
      </c>
      <c r="G118" s="110">
        <v>44720</v>
      </c>
      <c r="H118" s="106"/>
      <c r="J118" s="106" t="s">
        <v>1051</v>
      </c>
      <c r="K118" s="106" t="s">
        <v>969</v>
      </c>
      <c r="L118" s="184">
        <v>7500</v>
      </c>
      <c r="M118" s="106" t="s">
        <v>1159</v>
      </c>
    </row>
    <row r="119" spans="1:14" x14ac:dyDescent="0.25">
      <c r="A119" s="131" t="s">
        <v>576</v>
      </c>
      <c r="B119" s="108">
        <v>44652</v>
      </c>
      <c r="C119" s="108">
        <v>45016</v>
      </c>
      <c r="D119" s="114">
        <v>11500</v>
      </c>
      <c r="E119" s="110">
        <v>44652</v>
      </c>
      <c r="F119" s="213" t="s">
        <v>833</v>
      </c>
      <c r="G119" s="110">
        <v>44791</v>
      </c>
      <c r="H119" s="106"/>
      <c r="J119" s="106" t="s">
        <v>1051</v>
      </c>
      <c r="K119" s="112" t="s">
        <v>1076</v>
      </c>
      <c r="L119" s="184">
        <v>7500</v>
      </c>
      <c r="M119" s="106" t="s">
        <v>1124</v>
      </c>
    </row>
    <row r="120" spans="1:14" x14ac:dyDescent="0.25">
      <c r="A120" s="107" t="s">
        <v>580</v>
      </c>
      <c r="B120" s="108">
        <v>44652</v>
      </c>
      <c r="C120" s="108">
        <v>45016</v>
      </c>
      <c r="D120" s="114">
        <v>7500</v>
      </c>
      <c r="E120" s="110">
        <v>44652</v>
      </c>
      <c r="F120" s="213" t="s">
        <v>834</v>
      </c>
      <c r="G120" s="110">
        <v>44728</v>
      </c>
      <c r="H120" s="106"/>
      <c r="J120" s="106" t="s">
        <v>1051</v>
      </c>
      <c r="K120" s="112" t="s">
        <v>1009</v>
      </c>
      <c r="L120" s="184">
        <v>7500</v>
      </c>
      <c r="M120" s="164" t="s">
        <v>1160</v>
      </c>
    </row>
    <row r="121" spans="1:14" x14ac:dyDescent="0.25">
      <c r="A121" s="128" t="s">
        <v>807</v>
      </c>
      <c r="B121" s="108">
        <v>44652</v>
      </c>
      <c r="C121" s="108">
        <v>45016</v>
      </c>
      <c r="D121" s="114">
        <v>7500</v>
      </c>
      <c r="E121" s="110">
        <v>44652</v>
      </c>
      <c r="F121" s="213" t="s">
        <v>808</v>
      </c>
      <c r="G121" s="110">
        <v>44651</v>
      </c>
      <c r="H121" s="106"/>
      <c r="J121" s="106" t="s">
        <v>1051</v>
      </c>
      <c r="K121" s="112" t="s">
        <v>1076</v>
      </c>
      <c r="L121" s="184">
        <v>7500</v>
      </c>
      <c r="M121" s="106" t="s">
        <v>1161</v>
      </c>
    </row>
    <row r="122" spans="1:14" x14ac:dyDescent="0.25">
      <c r="A122" s="202" t="s">
        <v>172</v>
      </c>
      <c r="B122" s="108">
        <v>44682</v>
      </c>
      <c r="C122" s="108">
        <v>45046</v>
      </c>
      <c r="D122" s="114">
        <v>7500</v>
      </c>
      <c r="E122" s="110">
        <v>44682</v>
      </c>
      <c r="F122" s="213" t="s">
        <v>836</v>
      </c>
      <c r="G122" s="110">
        <v>44739</v>
      </c>
      <c r="H122" s="106"/>
      <c r="J122" s="106" t="s">
        <v>1051</v>
      </c>
      <c r="K122" s="112" t="s">
        <v>291</v>
      </c>
      <c r="L122" s="184">
        <v>7500</v>
      </c>
      <c r="M122" s="106" t="s">
        <v>1125</v>
      </c>
    </row>
    <row r="123" spans="1:14" x14ac:dyDescent="0.25">
      <c r="A123" s="107" t="s">
        <v>150</v>
      </c>
      <c r="B123" s="108">
        <v>44743</v>
      </c>
      <c r="C123" s="108">
        <v>45107</v>
      </c>
      <c r="D123" s="114">
        <v>7500</v>
      </c>
      <c r="E123" s="110">
        <v>44743</v>
      </c>
      <c r="F123" s="213" t="s">
        <v>873</v>
      </c>
      <c r="G123" s="110">
        <v>44788</v>
      </c>
      <c r="H123" s="148"/>
      <c r="J123" s="106" t="s">
        <v>1051</v>
      </c>
      <c r="K123" s="112" t="s">
        <v>1077</v>
      </c>
      <c r="L123" s="184">
        <v>7500</v>
      </c>
      <c r="M123" s="106" t="s">
        <v>1126</v>
      </c>
      <c r="N123" s="171" t="s">
        <v>796</v>
      </c>
    </row>
    <row r="124" spans="1:14" x14ac:dyDescent="0.25">
      <c r="A124" s="107" t="s">
        <v>220</v>
      </c>
      <c r="B124" s="108">
        <v>44743</v>
      </c>
      <c r="C124" s="108">
        <v>45107</v>
      </c>
      <c r="D124" s="114">
        <v>7500</v>
      </c>
      <c r="E124" s="110">
        <v>44743</v>
      </c>
      <c r="F124" s="213" t="s">
        <v>874</v>
      </c>
      <c r="G124" s="110">
        <v>44792</v>
      </c>
      <c r="H124" s="116"/>
      <c r="J124" s="106" t="s">
        <v>1051</v>
      </c>
      <c r="K124" s="112" t="s">
        <v>1078</v>
      </c>
      <c r="L124" s="184">
        <v>7500</v>
      </c>
      <c r="M124" s="148" t="s">
        <v>1162</v>
      </c>
      <c r="N124" s="171" t="s">
        <v>923</v>
      </c>
    </row>
    <row r="125" spans="1:14" x14ac:dyDescent="0.25">
      <c r="A125" s="207" t="s">
        <v>596</v>
      </c>
      <c r="B125" s="108">
        <v>44743</v>
      </c>
      <c r="C125" s="108">
        <v>45107</v>
      </c>
      <c r="D125" s="114">
        <v>18000</v>
      </c>
      <c r="E125" s="110">
        <v>44743</v>
      </c>
      <c r="F125" s="213" t="s">
        <v>911</v>
      </c>
      <c r="G125" s="110">
        <v>44823</v>
      </c>
      <c r="H125" s="148"/>
      <c r="J125" s="106" t="s">
        <v>1093</v>
      </c>
      <c r="K125" s="106" t="s">
        <v>1007</v>
      </c>
      <c r="L125" s="184">
        <v>7500</v>
      </c>
      <c r="M125" s="106" t="s">
        <v>1163</v>
      </c>
      <c r="N125" s="171" t="s">
        <v>965</v>
      </c>
    </row>
    <row r="126" spans="1:14" x14ac:dyDescent="0.25">
      <c r="A126" s="207" t="s">
        <v>651</v>
      </c>
      <c r="B126" s="108">
        <v>44743</v>
      </c>
      <c r="C126" s="108">
        <v>45107</v>
      </c>
      <c r="D126" s="114">
        <v>7500</v>
      </c>
      <c r="E126" s="110"/>
      <c r="F126" s="213"/>
      <c r="G126" s="110"/>
      <c r="H126" s="208" t="s">
        <v>967</v>
      </c>
      <c r="J126" s="106" t="s">
        <v>1093</v>
      </c>
      <c r="K126" s="112" t="s">
        <v>1079</v>
      </c>
      <c r="L126" s="184">
        <v>7500</v>
      </c>
      <c r="M126" s="106" t="s">
        <v>1164</v>
      </c>
      <c r="N126" s="101" t="s">
        <v>922</v>
      </c>
    </row>
    <row r="127" spans="1:14" x14ac:dyDescent="0.25">
      <c r="A127" s="107" t="s">
        <v>912</v>
      </c>
      <c r="B127" s="108">
        <v>44774</v>
      </c>
      <c r="C127" s="108">
        <v>45138</v>
      </c>
      <c r="D127" s="114">
        <v>7500</v>
      </c>
      <c r="E127" s="110">
        <v>44774</v>
      </c>
      <c r="F127" s="213" t="s">
        <v>913</v>
      </c>
      <c r="G127" s="110">
        <v>44805</v>
      </c>
      <c r="H127" s="148"/>
      <c r="J127" s="106" t="s">
        <v>1093</v>
      </c>
      <c r="K127" s="112" t="s">
        <v>1149</v>
      </c>
      <c r="L127" s="184">
        <v>7500</v>
      </c>
      <c r="M127" s="211" t="s">
        <v>1165</v>
      </c>
      <c r="N127" s="101" t="s">
        <v>1094</v>
      </c>
    </row>
    <row r="128" spans="1:14" x14ac:dyDescent="0.25">
      <c r="A128" s="209" t="s">
        <v>221</v>
      </c>
      <c r="B128" s="160">
        <v>44774</v>
      </c>
      <c r="C128" s="160">
        <v>45138</v>
      </c>
      <c r="D128" s="161">
        <v>7500</v>
      </c>
      <c r="E128" s="201">
        <v>44776</v>
      </c>
      <c r="F128" s="632" t="s">
        <v>906</v>
      </c>
      <c r="G128" s="110">
        <v>44944</v>
      </c>
      <c r="H128" s="116"/>
      <c r="J128" s="106" t="s">
        <v>1093</v>
      </c>
      <c r="K128" s="112" t="s">
        <v>1157</v>
      </c>
      <c r="L128" s="184">
        <v>7500</v>
      </c>
      <c r="M128" s="211" t="s">
        <v>1211</v>
      </c>
    </row>
    <row r="129" spans="1:15" x14ac:dyDescent="0.25">
      <c r="A129" s="107" t="s">
        <v>178</v>
      </c>
      <c r="B129" s="108">
        <v>44774</v>
      </c>
      <c r="C129" s="108">
        <v>45138</v>
      </c>
      <c r="D129" s="114">
        <v>7500</v>
      </c>
      <c r="E129" s="110">
        <v>44774</v>
      </c>
      <c r="F129" s="213" t="s">
        <v>909</v>
      </c>
      <c r="G129" s="110">
        <v>44825</v>
      </c>
      <c r="H129" s="106"/>
      <c r="J129" s="106" t="s">
        <v>1093</v>
      </c>
      <c r="K129" s="112" t="s">
        <v>1080</v>
      </c>
      <c r="L129" s="184">
        <v>7500</v>
      </c>
      <c r="M129" s="106" t="s">
        <v>1286</v>
      </c>
    </row>
    <row r="130" spans="1:15" x14ac:dyDescent="0.25">
      <c r="A130" s="172" t="s">
        <v>653</v>
      </c>
      <c r="B130" s="170">
        <v>44774</v>
      </c>
      <c r="C130" s="170">
        <v>45138</v>
      </c>
      <c r="D130" s="109">
        <v>7500</v>
      </c>
      <c r="E130" s="110">
        <v>44774</v>
      </c>
      <c r="F130" s="213" t="s">
        <v>928</v>
      </c>
      <c r="G130" s="110">
        <v>44873</v>
      </c>
      <c r="H130" s="164"/>
      <c r="J130" s="106" t="s">
        <v>1093</v>
      </c>
      <c r="K130" s="112" t="s">
        <v>1146</v>
      </c>
      <c r="L130" s="184">
        <v>7500</v>
      </c>
      <c r="M130" s="106" t="s">
        <v>1275</v>
      </c>
    </row>
    <row r="131" spans="1:15" x14ac:dyDescent="0.25">
      <c r="A131" s="107" t="s">
        <v>380</v>
      </c>
      <c r="B131" s="108">
        <v>44774</v>
      </c>
      <c r="C131" s="108">
        <v>45138</v>
      </c>
      <c r="D131" s="109">
        <v>7500</v>
      </c>
      <c r="E131" s="110">
        <v>44774</v>
      </c>
      <c r="F131" s="213" t="s">
        <v>937</v>
      </c>
      <c r="G131" s="110">
        <v>44901</v>
      </c>
      <c r="H131" s="106"/>
      <c r="J131" s="106" t="s">
        <v>1283</v>
      </c>
      <c r="K131" s="112" t="s">
        <v>1210</v>
      </c>
      <c r="L131" s="184">
        <v>5000</v>
      </c>
      <c r="M131" s="198" t="s">
        <v>1310</v>
      </c>
      <c r="N131" s="101" t="s">
        <v>1013</v>
      </c>
    </row>
    <row r="132" spans="1:15" x14ac:dyDescent="0.25">
      <c r="A132" s="107" t="s">
        <v>905</v>
      </c>
      <c r="B132" s="108">
        <v>44774</v>
      </c>
      <c r="C132" s="108">
        <v>45138</v>
      </c>
      <c r="D132" s="109">
        <v>11500</v>
      </c>
      <c r="E132" s="110">
        <v>44774</v>
      </c>
      <c r="F132" s="213" t="s">
        <v>919</v>
      </c>
      <c r="G132" s="110">
        <v>44875</v>
      </c>
      <c r="H132" s="106"/>
      <c r="J132" s="106" t="s">
        <v>1283</v>
      </c>
      <c r="K132" s="112" t="s">
        <v>1209</v>
      </c>
      <c r="L132" s="184">
        <v>5000</v>
      </c>
      <c r="M132" s="198" t="s">
        <v>1316</v>
      </c>
      <c r="O132" s="182"/>
    </row>
    <row r="133" spans="1:15" x14ac:dyDescent="0.25">
      <c r="A133" s="107" t="s">
        <v>228</v>
      </c>
      <c r="B133" s="108">
        <v>44805</v>
      </c>
      <c r="C133" s="170">
        <v>45169</v>
      </c>
      <c r="D133" s="109">
        <v>7500</v>
      </c>
      <c r="E133" s="110">
        <v>44805</v>
      </c>
      <c r="F133" s="213" t="s">
        <v>938</v>
      </c>
      <c r="G133" s="110">
        <v>44981</v>
      </c>
      <c r="H133" s="106"/>
      <c r="J133" s="112" t="s">
        <v>1283</v>
      </c>
      <c r="K133" s="112" t="s">
        <v>1181</v>
      </c>
      <c r="L133" s="184">
        <v>7500</v>
      </c>
      <c r="M133" s="527" t="s">
        <v>1317</v>
      </c>
    </row>
    <row r="134" spans="1:15" x14ac:dyDescent="0.25">
      <c r="A134" s="107" t="s">
        <v>152</v>
      </c>
      <c r="B134" s="108">
        <v>44805</v>
      </c>
      <c r="C134" s="170">
        <v>45169</v>
      </c>
      <c r="D134" s="114">
        <v>7500</v>
      </c>
      <c r="E134" s="110">
        <v>44810</v>
      </c>
      <c r="F134" s="213" t="s">
        <v>929</v>
      </c>
      <c r="G134" s="110">
        <v>44840</v>
      </c>
      <c r="H134" s="106"/>
      <c r="J134" s="106" t="s">
        <v>1308</v>
      </c>
      <c r="K134" s="106" t="s">
        <v>1154</v>
      </c>
      <c r="L134" s="184">
        <v>7500</v>
      </c>
      <c r="M134" s="106" t="s">
        <v>1208</v>
      </c>
    </row>
    <row r="135" spans="1:15" x14ac:dyDescent="0.25">
      <c r="A135" s="172" t="s">
        <v>162</v>
      </c>
      <c r="B135" s="108">
        <v>44805</v>
      </c>
      <c r="C135" s="170">
        <v>45169</v>
      </c>
      <c r="D135" s="109">
        <v>25000</v>
      </c>
      <c r="E135" s="110">
        <v>44805</v>
      </c>
      <c r="F135" s="213" t="s">
        <v>930</v>
      </c>
      <c r="G135" s="110">
        <v>44869</v>
      </c>
      <c r="H135" s="106"/>
      <c r="J135" s="550">
        <v>2024</v>
      </c>
      <c r="K135" s="106" t="s">
        <v>1148</v>
      </c>
      <c r="L135" s="184">
        <v>7500</v>
      </c>
      <c r="M135" s="527" t="s">
        <v>1362</v>
      </c>
    </row>
    <row r="136" spans="1:15" x14ac:dyDescent="0.25">
      <c r="A136" s="107" t="s">
        <v>185</v>
      </c>
      <c r="B136" s="108">
        <v>44805</v>
      </c>
      <c r="C136" s="170">
        <v>45169</v>
      </c>
      <c r="D136" s="114">
        <v>7500</v>
      </c>
      <c r="E136" s="110">
        <v>44805</v>
      </c>
      <c r="F136" s="213" t="s">
        <v>940</v>
      </c>
      <c r="G136" s="110">
        <v>45002</v>
      </c>
      <c r="H136" s="164"/>
      <c r="J136" s="550">
        <v>2024</v>
      </c>
      <c r="K136" s="112" t="s">
        <v>1197</v>
      </c>
      <c r="L136" s="184">
        <v>7500</v>
      </c>
      <c r="M136" s="198" t="s">
        <v>1363</v>
      </c>
      <c r="N136" s="181"/>
    </row>
    <row r="137" spans="1:15" x14ac:dyDescent="0.25">
      <c r="A137" s="172" t="s">
        <v>161</v>
      </c>
      <c r="B137" s="170">
        <v>44835</v>
      </c>
      <c r="C137" s="108">
        <v>45199</v>
      </c>
      <c r="D137" s="114">
        <v>8000</v>
      </c>
      <c r="E137" s="110"/>
      <c r="F137" s="213"/>
      <c r="G137" s="110"/>
      <c r="H137" s="148" t="s">
        <v>1014</v>
      </c>
      <c r="J137" s="550">
        <v>2024</v>
      </c>
      <c r="K137" s="112" t="s">
        <v>1155</v>
      </c>
      <c r="L137" s="184"/>
      <c r="M137" s="198" t="s">
        <v>1402</v>
      </c>
      <c r="N137" s="181"/>
    </row>
    <row r="138" spans="1:15" x14ac:dyDescent="0.25">
      <c r="A138" s="172" t="s">
        <v>920</v>
      </c>
      <c r="B138" s="170">
        <v>44835</v>
      </c>
      <c r="C138" s="108">
        <v>45199</v>
      </c>
      <c r="D138" s="114">
        <v>11500</v>
      </c>
      <c r="E138" s="110">
        <v>44835</v>
      </c>
      <c r="F138" s="213" t="s">
        <v>921</v>
      </c>
      <c r="G138" s="110">
        <v>44848</v>
      </c>
      <c r="H138" s="164"/>
      <c r="J138" s="550">
        <v>2024</v>
      </c>
      <c r="K138" s="112" t="s">
        <v>1049</v>
      </c>
      <c r="L138" s="184">
        <v>7500</v>
      </c>
      <c r="M138" s="101" t="s">
        <v>1403</v>
      </c>
      <c r="N138" s="181"/>
    </row>
    <row r="139" spans="1:15" x14ac:dyDescent="0.25">
      <c r="A139" s="107" t="s">
        <v>209</v>
      </c>
      <c r="B139" s="108">
        <v>44866</v>
      </c>
      <c r="C139" s="108">
        <v>45230</v>
      </c>
      <c r="D139" s="114">
        <v>10000</v>
      </c>
      <c r="E139" s="110">
        <v>44866</v>
      </c>
      <c r="F139" s="213" t="s">
        <v>1015</v>
      </c>
      <c r="G139" s="110">
        <v>44957</v>
      </c>
      <c r="H139" s="164"/>
      <c r="J139" s="550">
        <v>2024</v>
      </c>
      <c r="K139" s="112" t="s">
        <v>171</v>
      </c>
      <c r="L139" s="184">
        <v>7500</v>
      </c>
      <c r="M139" s="112" t="s">
        <v>1404</v>
      </c>
      <c r="N139" s="181"/>
    </row>
    <row r="140" spans="1:15" x14ac:dyDescent="0.25">
      <c r="A140" s="131" t="s">
        <v>736</v>
      </c>
      <c r="B140" s="108">
        <v>44896</v>
      </c>
      <c r="C140" s="108">
        <v>45260</v>
      </c>
      <c r="D140" s="114">
        <v>11500</v>
      </c>
      <c r="E140" s="110">
        <v>44927</v>
      </c>
      <c r="F140" s="213" t="s">
        <v>1016</v>
      </c>
      <c r="G140" s="110">
        <v>44959</v>
      </c>
      <c r="H140" s="162" t="s">
        <v>1017</v>
      </c>
      <c r="J140" s="460">
        <v>2024</v>
      </c>
      <c r="K140" s="183" t="s">
        <v>1306</v>
      </c>
      <c r="L140" s="184">
        <v>7500</v>
      </c>
      <c r="M140" s="527" t="s">
        <v>1405</v>
      </c>
      <c r="N140" s="181"/>
    </row>
    <row r="141" spans="1:15" x14ac:dyDescent="0.25">
      <c r="A141" s="131" t="s">
        <v>472</v>
      </c>
      <c r="B141" s="108">
        <v>44896</v>
      </c>
      <c r="C141" s="108">
        <v>45260</v>
      </c>
      <c r="D141" s="114">
        <v>7500</v>
      </c>
      <c r="E141" s="110">
        <v>44896</v>
      </c>
      <c r="F141" s="213" t="s">
        <v>971</v>
      </c>
      <c r="G141" s="110">
        <v>44909</v>
      </c>
      <c r="H141" s="106"/>
      <c r="J141" s="460">
        <v>2024</v>
      </c>
      <c r="K141" s="183" t="s">
        <v>1147</v>
      </c>
      <c r="L141" s="184">
        <v>7500</v>
      </c>
      <c r="M141" s="527" t="s">
        <v>1406</v>
      </c>
      <c r="N141" s="181"/>
    </row>
    <row r="142" spans="1:15" x14ac:dyDescent="0.25">
      <c r="A142" s="131" t="s">
        <v>717</v>
      </c>
      <c r="B142" s="108">
        <v>44896</v>
      </c>
      <c r="C142" s="108">
        <v>45260</v>
      </c>
      <c r="D142" s="114">
        <v>11500</v>
      </c>
      <c r="E142" s="110">
        <v>44896</v>
      </c>
      <c r="F142" s="213" t="s">
        <v>972</v>
      </c>
      <c r="G142" s="110">
        <v>44903</v>
      </c>
      <c r="H142" s="116"/>
      <c r="J142" s="435">
        <v>2024</v>
      </c>
      <c r="K142" s="112" t="s">
        <v>1285</v>
      </c>
      <c r="L142" s="184">
        <v>7500</v>
      </c>
      <c r="M142" s="198" t="s">
        <v>1407</v>
      </c>
    </row>
    <row r="143" spans="1:15" x14ac:dyDescent="0.25">
      <c r="A143" s="131" t="s">
        <v>960</v>
      </c>
      <c r="B143" s="108">
        <v>44896</v>
      </c>
      <c r="C143" s="108">
        <v>45260</v>
      </c>
      <c r="D143" s="114">
        <v>7500</v>
      </c>
      <c r="E143" s="110">
        <v>44896</v>
      </c>
      <c r="F143" s="213" t="s">
        <v>964</v>
      </c>
      <c r="G143" s="110">
        <v>44564</v>
      </c>
      <c r="H143" s="116"/>
      <c r="J143" s="527" t="s">
        <v>1408</v>
      </c>
      <c r="K143" s="112" t="s">
        <v>1297</v>
      </c>
      <c r="L143" s="184">
        <v>7500</v>
      </c>
      <c r="M143" s="198" t="s">
        <v>1409</v>
      </c>
    </row>
    <row r="144" spans="1:15" x14ac:dyDescent="0.25">
      <c r="A144" s="212" t="s">
        <v>454</v>
      </c>
      <c r="B144" s="170">
        <v>44896</v>
      </c>
      <c r="C144" s="170">
        <v>45260</v>
      </c>
      <c r="D144" s="109">
        <v>7500</v>
      </c>
      <c r="E144" s="213">
        <v>44896</v>
      </c>
      <c r="F144" s="213" t="s">
        <v>1052</v>
      </c>
      <c r="G144" s="213">
        <v>45041</v>
      </c>
      <c r="H144" s="106"/>
      <c r="J144" s="200" t="s">
        <v>1408</v>
      </c>
      <c r="K144" s="200" t="s">
        <v>1284</v>
      </c>
      <c r="L144" s="184">
        <v>7500</v>
      </c>
      <c r="M144" s="198" t="s">
        <v>1410</v>
      </c>
    </row>
    <row r="145" spans="1:13" x14ac:dyDescent="0.25">
      <c r="A145" s="190" t="s">
        <v>785</v>
      </c>
      <c r="B145" s="191"/>
      <c r="C145" s="191"/>
      <c r="D145" s="192">
        <f>SUM(D107:D143)</f>
        <v>349000</v>
      </c>
      <c r="E145" s="551"/>
      <c r="F145" s="462"/>
      <c r="G145" s="193"/>
      <c r="J145" s="106"/>
      <c r="K145" s="112"/>
      <c r="L145" s="184"/>
      <c r="M145" s="106"/>
    </row>
    <row r="146" spans="1:13" x14ac:dyDescent="0.25">
      <c r="A146" s="190"/>
      <c r="B146" s="191"/>
      <c r="C146" s="191"/>
      <c r="D146" s="192">
        <f>+D145/12</f>
        <v>29083.333333333332</v>
      </c>
      <c r="E146" s="193"/>
      <c r="F146" s="462"/>
      <c r="G146" s="193"/>
      <c r="J146" s="100" t="s">
        <v>777</v>
      </c>
      <c r="K146" s="100" t="s">
        <v>204</v>
      </c>
      <c r="L146" s="100" t="s">
        <v>516</v>
      </c>
      <c r="M146" s="100" t="s">
        <v>778</v>
      </c>
    </row>
    <row r="147" spans="1:13" x14ac:dyDescent="0.25">
      <c r="A147" s="163" t="s">
        <v>239</v>
      </c>
      <c r="B147" s="191" t="s">
        <v>199</v>
      </c>
      <c r="C147" s="191" t="s">
        <v>145</v>
      </c>
      <c r="E147" s="195" t="s">
        <v>240</v>
      </c>
      <c r="J147" s="106" t="s">
        <v>623</v>
      </c>
      <c r="K147" s="528">
        <v>7500</v>
      </c>
      <c r="L147" s="96">
        <v>7500</v>
      </c>
      <c r="M147" s="529">
        <f t="shared" ref="M147:M153" si="8">K147-L147</f>
        <v>0</v>
      </c>
    </row>
    <row r="148" spans="1:13" x14ac:dyDescent="0.25">
      <c r="A148" s="427" t="s">
        <v>1212</v>
      </c>
      <c r="B148" s="170">
        <v>45139</v>
      </c>
      <c r="C148" s="170">
        <v>45504</v>
      </c>
      <c r="D148" s="109">
        <v>7500</v>
      </c>
      <c r="E148" s="110"/>
      <c r="F148" s="213"/>
      <c r="G148" s="110"/>
      <c r="H148" s="208" t="s">
        <v>1213</v>
      </c>
      <c r="J148" s="115" t="s">
        <v>689</v>
      </c>
      <c r="K148" s="528">
        <v>7500</v>
      </c>
      <c r="L148" s="96">
        <f>K148*10/12</f>
        <v>6250</v>
      </c>
      <c r="M148" s="529">
        <f t="shared" si="8"/>
        <v>1250</v>
      </c>
    </row>
    <row r="149" spans="1:13" x14ac:dyDescent="0.25">
      <c r="A149" s="202" t="s">
        <v>172</v>
      </c>
      <c r="B149" s="103">
        <v>45047</v>
      </c>
      <c r="C149" s="103">
        <v>45412</v>
      </c>
      <c r="D149" s="104">
        <v>7500</v>
      </c>
      <c r="E149" s="105"/>
      <c r="F149" s="465"/>
      <c r="G149" s="105"/>
      <c r="H149" s="111" t="s">
        <v>1214</v>
      </c>
      <c r="J149" s="106" t="s">
        <v>792</v>
      </c>
      <c r="K149" s="528">
        <v>7500</v>
      </c>
      <c r="L149" s="96">
        <f>+K149/12*9</f>
        <v>5625</v>
      </c>
      <c r="M149" s="529">
        <f t="shared" si="8"/>
        <v>1875</v>
      </c>
    </row>
    <row r="150" spans="1:13" x14ac:dyDescent="0.25">
      <c r="A150" s="107" t="s">
        <v>220</v>
      </c>
      <c r="B150" s="108">
        <v>45108</v>
      </c>
      <c r="C150" s="108">
        <v>45473</v>
      </c>
      <c r="D150" s="114">
        <v>7500</v>
      </c>
      <c r="E150" s="110"/>
      <c r="F150" s="213"/>
      <c r="G150" s="110"/>
      <c r="H150" s="116"/>
      <c r="J150" s="106" t="s">
        <v>905</v>
      </c>
      <c r="K150" s="528">
        <v>15000</v>
      </c>
      <c r="L150" s="96">
        <f>+K150/12*5</f>
        <v>6250</v>
      </c>
      <c r="M150" s="529">
        <f t="shared" si="8"/>
        <v>8750</v>
      </c>
    </row>
    <row r="151" spans="1:13" x14ac:dyDescent="0.25">
      <c r="A151" s="107" t="s">
        <v>689</v>
      </c>
      <c r="B151" s="108">
        <v>44986</v>
      </c>
      <c r="C151" s="170">
        <v>45350</v>
      </c>
      <c r="D151" s="114">
        <v>7500</v>
      </c>
      <c r="E151" s="110"/>
      <c r="F151" s="213"/>
      <c r="G151" s="110"/>
      <c r="H151" s="106" t="s">
        <v>1215</v>
      </c>
      <c r="J151" s="106" t="s">
        <v>920</v>
      </c>
      <c r="K151" s="528">
        <v>11500</v>
      </c>
      <c r="L151" s="96">
        <f>+K151/12*3</f>
        <v>2875</v>
      </c>
      <c r="M151" s="529">
        <f t="shared" si="8"/>
        <v>8625</v>
      </c>
    </row>
    <row r="152" spans="1:13" x14ac:dyDescent="0.25">
      <c r="A152" s="427" t="s">
        <v>166</v>
      </c>
      <c r="B152" s="108">
        <v>44958</v>
      </c>
      <c r="C152" s="108">
        <v>45322</v>
      </c>
      <c r="D152" s="109">
        <v>7500</v>
      </c>
      <c r="E152" s="110"/>
      <c r="F152" s="213"/>
      <c r="G152" s="110"/>
      <c r="H152" s="179" t="s">
        <v>1095</v>
      </c>
      <c r="J152" s="106" t="s">
        <v>960</v>
      </c>
      <c r="K152" s="528">
        <v>7500</v>
      </c>
      <c r="L152" s="96">
        <f>+K152/12*1</f>
        <v>625</v>
      </c>
      <c r="M152" s="529">
        <f t="shared" si="8"/>
        <v>6875</v>
      </c>
    </row>
    <row r="153" spans="1:13" x14ac:dyDescent="0.25">
      <c r="A153" s="430" t="s">
        <v>161</v>
      </c>
      <c r="B153" s="129">
        <v>45200</v>
      </c>
      <c r="C153" s="103">
        <v>45565</v>
      </c>
      <c r="D153" s="104">
        <v>8000</v>
      </c>
      <c r="E153" s="105"/>
      <c r="F153" s="465"/>
      <c r="G153" s="105"/>
      <c r="H153" s="177" t="s">
        <v>1216</v>
      </c>
      <c r="J153" s="115" t="s">
        <v>763</v>
      </c>
      <c r="K153" s="528">
        <v>7500</v>
      </c>
      <c r="L153" s="96">
        <v>0</v>
      </c>
      <c r="M153" s="529">
        <f t="shared" si="8"/>
        <v>7500</v>
      </c>
    </row>
    <row r="154" spans="1:13" x14ac:dyDescent="0.25">
      <c r="A154" s="131" t="s">
        <v>171</v>
      </c>
      <c r="B154" s="108">
        <v>44866</v>
      </c>
      <c r="C154" s="108">
        <v>45230</v>
      </c>
      <c r="D154" s="114">
        <v>7500</v>
      </c>
      <c r="E154" s="110">
        <v>44894</v>
      </c>
      <c r="F154" s="213"/>
      <c r="G154" s="110"/>
      <c r="H154" s="106" t="s">
        <v>973</v>
      </c>
      <c r="J154" s="115"/>
      <c r="K154" s="528"/>
      <c r="L154" s="96"/>
      <c r="M154" s="529"/>
    </row>
    <row r="155" spans="1:13" x14ac:dyDescent="0.25">
      <c r="A155" s="212" t="s">
        <v>454</v>
      </c>
      <c r="B155" s="170">
        <v>44896</v>
      </c>
      <c r="C155" s="170">
        <v>45260</v>
      </c>
      <c r="D155" s="109">
        <v>7500</v>
      </c>
      <c r="E155" s="213">
        <v>44894</v>
      </c>
      <c r="F155" s="213"/>
      <c r="G155" s="213"/>
      <c r="H155" s="106" t="s">
        <v>1053</v>
      </c>
      <c r="J155" s="107" t="s">
        <v>1</v>
      </c>
      <c r="K155" s="57">
        <f>SUM(K147:K153)</f>
        <v>64000</v>
      </c>
      <c r="L155" s="57">
        <f>SUM(L147:L153)</f>
        <v>29125</v>
      </c>
      <c r="M155" s="57">
        <f>SUM(M147:M153)</f>
        <v>34875</v>
      </c>
    </row>
    <row r="156" spans="1:13" x14ac:dyDescent="0.25">
      <c r="A156" s="131" t="s">
        <v>415</v>
      </c>
      <c r="B156" s="108">
        <v>44562</v>
      </c>
      <c r="C156" s="108">
        <v>44926</v>
      </c>
      <c r="D156" s="114">
        <v>7500</v>
      </c>
      <c r="E156" s="110">
        <v>44733</v>
      </c>
      <c r="F156" s="213" t="s">
        <v>798</v>
      </c>
      <c r="G156" s="110"/>
      <c r="H156" s="148" t="s">
        <v>832</v>
      </c>
    </row>
    <row r="157" spans="1:13" x14ac:dyDescent="0.25">
      <c r="A157" s="107" t="s">
        <v>188</v>
      </c>
      <c r="B157" s="108">
        <v>44713</v>
      </c>
      <c r="C157" s="108">
        <v>45077</v>
      </c>
      <c r="D157" s="114">
        <v>11500</v>
      </c>
      <c r="E157" s="110"/>
      <c r="F157" s="213"/>
      <c r="G157" s="110"/>
      <c r="H157" s="164" t="s">
        <v>871</v>
      </c>
      <c r="J157" s="41" t="s">
        <v>781</v>
      </c>
      <c r="K157" s="41" t="s">
        <v>204</v>
      </c>
      <c r="L157" s="41" t="s">
        <v>594</v>
      </c>
      <c r="M157" s="41" t="s">
        <v>782</v>
      </c>
    </row>
    <row r="158" spans="1:13" x14ac:dyDescent="0.25">
      <c r="A158" s="107" t="s">
        <v>190</v>
      </c>
      <c r="B158" s="108">
        <v>44470</v>
      </c>
      <c r="C158" s="108">
        <v>44834</v>
      </c>
      <c r="D158" s="114">
        <v>11500</v>
      </c>
      <c r="E158" s="110"/>
      <c r="F158" s="213"/>
      <c r="G158" s="110"/>
      <c r="H158" s="164" t="s">
        <v>786</v>
      </c>
      <c r="J158" s="176" t="s">
        <v>744</v>
      </c>
      <c r="K158" s="169">
        <v>7500</v>
      </c>
      <c r="L158" s="59">
        <v>7500</v>
      </c>
      <c r="M158" s="529"/>
    </row>
    <row r="159" spans="1:13" x14ac:dyDescent="0.25">
      <c r="A159" s="209" t="s">
        <v>104</v>
      </c>
      <c r="B159" s="160">
        <v>44287</v>
      </c>
      <c r="C159" s="160">
        <v>44651</v>
      </c>
      <c r="D159" s="161">
        <v>7500</v>
      </c>
      <c r="E159" s="201">
        <v>44460</v>
      </c>
      <c r="F159" s="632" t="s">
        <v>595</v>
      </c>
      <c r="G159" s="201"/>
      <c r="H159" s="215" t="s">
        <v>693</v>
      </c>
      <c r="I159" s="107"/>
      <c r="J159" s="176" t="s">
        <v>188</v>
      </c>
      <c r="K159" s="169">
        <v>11500</v>
      </c>
      <c r="L159" s="59">
        <f>K159*7/12</f>
        <v>6708.333333333333</v>
      </c>
      <c r="M159" s="529">
        <f>K159-L159</f>
        <v>4791.666666666667</v>
      </c>
    </row>
    <row r="160" spans="1:13" x14ac:dyDescent="0.25">
      <c r="A160" s="107" t="s">
        <v>107</v>
      </c>
      <c r="B160" s="108">
        <v>44348</v>
      </c>
      <c r="C160" s="108">
        <v>44712</v>
      </c>
      <c r="D160" s="114">
        <v>7500</v>
      </c>
      <c r="E160" s="110">
        <v>44319</v>
      </c>
      <c r="F160" s="213"/>
      <c r="G160" s="110"/>
      <c r="H160" s="106" t="s">
        <v>600</v>
      </c>
      <c r="J160" s="176" t="s">
        <v>171</v>
      </c>
      <c r="K160" s="169">
        <v>7500</v>
      </c>
      <c r="L160" s="59">
        <f>K160*2/12</f>
        <v>1250</v>
      </c>
      <c r="M160" s="529">
        <f>K160-L160</f>
        <v>6250</v>
      </c>
    </row>
    <row r="161" spans="1:13" x14ac:dyDescent="0.25">
      <c r="A161" s="131" t="s">
        <v>176</v>
      </c>
      <c r="B161" s="108">
        <v>43891</v>
      </c>
      <c r="C161" s="170">
        <v>44255</v>
      </c>
      <c r="D161" s="109">
        <v>10000</v>
      </c>
      <c r="E161" s="110">
        <v>43999</v>
      </c>
      <c r="F161" s="213" t="s">
        <v>177</v>
      </c>
      <c r="G161" s="110"/>
      <c r="H161" s="106" t="s">
        <v>249</v>
      </c>
      <c r="J161" s="175" t="s">
        <v>1091</v>
      </c>
      <c r="K161" s="169">
        <v>8000</v>
      </c>
      <c r="L161" s="97">
        <f>K161*3/12</f>
        <v>2000</v>
      </c>
      <c r="M161" s="529">
        <f>K161-L161</f>
        <v>6000</v>
      </c>
    </row>
    <row r="162" spans="1:13" x14ac:dyDescent="0.25">
      <c r="A162" s="107" t="s">
        <v>164</v>
      </c>
      <c r="B162" s="108">
        <v>43891</v>
      </c>
      <c r="C162" s="170">
        <v>44255</v>
      </c>
      <c r="D162" s="109">
        <v>7500</v>
      </c>
      <c r="E162" s="110">
        <v>43991</v>
      </c>
      <c r="F162" s="213" t="s">
        <v>165</v>
      </c>
      <c r="G162" s="110"/>
      <c r="H162" s="106" t="s">
        <v>251</v>
      </c>
      <c r="J162" s="175" t="s">
        <v>1092</v>
      </c>
      <c r="K162" s="169">
        <v>7500</v>
      </c>
      <c r="L162" s="97">
        <f>K162*6/12</f>
        <v>3750</v>
      </c>
      <c r="M162" s="529">
        <f>K162-L162</f>
        <v>3750</v>
      </c>
    </row>
    <row r="163" spans="1:13" x14ac:dyDescent="0.25">
      <c r="A163" s="107" t="s">
        <v>184</v>
      </c>
      <c r="B163" s="108">
        <v>43709</v>
      </c>
      <c r="C163" s="108">
        <v>44074</v>
      </c>
      <c r="D163" s="114">
        <v>7500</v>
      </c>
      <c r="E163" s="110">
        <v>44103</v>
      </c>
      <c r="F163" s="213"/>
      <c r="G163" s="110"/>
      <c r="H163" s="106" t="s">
        <v>417</v>
      </c>
      <c r="J163" s="176"/>
      <c r="K163" s="169"/>
      <c r="L163" s="59"/>
      <c r="M163" s="529"/>
    </row>
    <row r="164" spans="1:13" x14ac:dyDescent="0.25">
      <c r="A164" s="107" t="s">
        <v>242</v>
      </c>
      <c r="B164" s="108">
        <v>43678</v>
      </c>
      <c r="C164" s="108">
        <v>44043</v>
      </c>
      <c r="D164" s="114">
        <v>7500</v>
      </c>
      <c r="E164" s="110">
        <v>44010</v>
      </c>
      <c r="F164" s="213"/>
      <c r="G164" s="110"/>
      <c r="H164" s="106" t="s">
        <v>243</v>
      </c>
      <c r="J164" s="107" t="s">
        <v>1</v>
      </c>
      <c r="K164" s="217">
        <f>SUM(K158:K163)</f>
        <v>42000</v>
      </c>
      <c r="L164" s="217">
        <f>SUM(L158:L163)</f>
        <v>21208.333333333332</v>
      </c>
      <c r="M164" s="217">
        <f>SUM(M158:M163)</f>
        <v>20791.666666666668</v>
      </c>
    </row>
    <row r="165" spans="1:13" x14ac:dyDescent="0.25">
      <c r="A165" s="107" t="s">
        <v>207</v>
      </c>
      <c r="B165" s="108">
        <v>43678</v>
      </c>
      <c r="C165" s="108">
        <v>44043</v>
      </c>
      <c r="D165" s="114">
        <v>5500</v>
      </c>
      <c r="E165" s="110">
        <v>43881</v>
      </c>
      <c r="F165" s="213"/>
      <c r="G165" s="110"/>
      <c r="H165" s="106" t="s">
        <v>255</v>
      </c>
      <c r="L165" s="219"/>
      <c r="M165" s="220"/>
    </row>
    <row r="166" spans="1:13" x14ac:dyDescent="0.25">
      <c r="A166" s="107" t="s">
        <v>258</v>
      </c>
      <c r="B166" s="108">
        <v>43466</v>
      </c>
      <c r="C166" s="170">
        <v>43830</v>
      </c>
      <c r="D166" s="109">
        <v>7500</v>
      </c>
      <c r="E166" s="216"/>
      <c r="F166" s="216"/>
      <c r="G166" s="216"/>
      <c r="H166" s="106" t="s">
        <v>259</v>
      </c>
    </row>
    <row r="167" spans="1:13" x14ac:dyDescent="0.25">
      <c r="A167" s="107" t="s">
        <v>261</v>
      </c>
      <c r="B167" s="108">
        <v>43435</v>
      </c>
      <c r="C167" s="170">
        <v>43799</v>
      </c>
      <c r="D167" s="109">
        <v>7500</v>
      </c>
      <c r="E167" s="216"/>
      <c r="F167" s="216"/>
      <c r="G167" s="218"/>
      <c r="H167" s="106" t="s">
        <v>259</v>
      </c>
      <c r="J167" s="100" t="s">
        <v>223</v>
      </c>
      <c r="K167" s="100" t="s">
        <v>224</v>
      </c>
      <c r="L167" s="100" t="s">
        <v>204</v>
      </c>
      <c r="M167" s="100" t="s">
        <v>202</v>
      </c>
    </row>
    <row r="168" spans="1:13" x14ac:dyDescent="0.25">
      <c r="A168" s="172" t="s">
        <v>264</v>
      </c>
      <c r="B168" s="170">
        <v>43435</v>
      </c>
      <c r="C168" s="108">
        <v>43830</v>
      </c>
      <c r="D168" s="114">
        <v>7500</v>
      </c>
      <c r="E168" s="218"/>
      <c r="F168" s="216"/>
      <c r="G168" s="218"/>
      <c r="H168" s="106" t="s">
        <v>259</v>
      </c>
      <c r="J168" s="221" t="s">
        <v>924</v>
      </c>
      <c r="K168" s="222" t="s">
        <v>925</v>
      </c>
      <c r="L168" s="223">
        <v>7500</v>
      </c>
      <c r="M168" s="224" t="s">
        <v>966</v>
      </c>
    </row>
    <row r="169" spans="1:13" x14ac:dyDescent="0.25">
      <c r="A169" s="107" t="s">
        <v>267</v>
      </c>
      <c r="B169" s="108">
        <v>43374</v>
      </c>
      <c r="C169" s="108">
        <v>43738</v>
      </c>
      <c r="D169" s="114">
        <v>7500</v>
      </c>
      <c r="E169" s="218"/>
      <c r="F169" s="216"/>
      <c r="G169" s="218"/>
      <c r="H169" s="106" t="s">
        <v>259</v>
      </c>
      <c r="J169" s="221" t="s">
        <v>924</v>
      </c>
      <c r="K169" s="222" t="s">
        <v>926</v>
      </c>
      <c r="L169" s="223">
        <v>7500</v>
      </c>
      <c r="M169" s="224" t="s">
        <v>966</v>
      </c>
    </row>
    <row r="170" spans="1:13" x14ac:dyDescent="0.25">
      <c r="A170" s="107" t="s">
        <v>270</v>
      </c>
      <c r="B170" s="108">
        <v>43374</v>
      </c>
      <c r="C170" s="108">
        <v>43738</v>
      </c>
      <c r="D170" s="114">
        <v>7500</v>
      </c>
      <c r="E170" s="218"/>
      <c r="F170" s="216"/>
      <c r="G170" s="218"/>
      <c r="H170" s="106" t="s">
        <v>271</v>
      </c>
      <c r="J170" s="221" t="s">
        <v>924</v>
      </c>
      <c r="K170" s="222" t="s">
        <v>927</v>
      </c>
      <c r="L170" s="223">
        <v>7500</v>
      </c>
      <c r="M170" s="222" t="s">
        <v>968</v>
      </c>
    </row>
    <row r="171" spans="1:13" x14ac:dyDescent="0.25">
      <c r="A171" s="163"/>
      <c r="B171" s="191"/>
      <c r="C171" s="191"/>
      <c r="D171" s="192"/>
      <c r="E171" s="225"/>
      <c r="F171" s="633"/>
      <c r="G171" s="225"/>
      <c r="J171" s="221" t="s">
        <v>924</v>
      </c>
      <c r="K171" s="224" t="s">
        <v>969</v>
      </c>
      <c r="L171" s="223">
        <v>7500</v>
      </c>
      <c r="M171" s="226" t="s">
        <v>1008</v>
      </c>
    </row>
    <row r="172" spans="1:13" x14ac:dyDescent="0.25">
      <c r="A172" s="163" t="s">
        <v>638</v>
      </c>
      <c r="B172" s="191" t="s">
        <v>199</v>
      </c>
      <c r="C172" s="191" t="s">
        <v>145</v>
      </c>
      <c r="D172" s="192"/>
      <c r="E172" s="225" t="s">
        <v>240</v>
      </c>
      <c r="F172" s="633"/>
      <c r="G172" s="225"/>
      <c r="J172" s="221" t="s">
        <v>924</v>
      </c>
      <c r="K172" s="224" t="s">
        <v>970</v>
      </c>
      <c r="L172" s="223">
        <v>7500</v>
      </c>
      <c r="M172" s="226" t="s">
        <v>1008</v>
      </c>
    </row>
    <row r="173" spans="1:13" x14ac:dyDescent="0.25">
      <c r="A173" s="107" t="s">
        <v>192</v>
      </c>
      <c r="B173" s="108">
        <v>44228</v>
      </c>
      <c r="C173" s="108">
        <v>44592</v>
      </c>
      <c r="D173" s="114">
        <v>7500</v>
      </c>
      <c r="E173" s="110">
        <v>44215</v>
      </c>
      <c r="F173" s="213"/>
      <c r="G173" s="110"/>
      <c r="H173" s="106" t="s">
        <v>527</v>
      </c>
      <c r="J173" s="221"/>
      <c r="K173" s="224"/>
      <c r="L173" s="223"/>
      <c r="M173" s="226"/>
    </row>
    <row r="174" spans="1:13" x14ac:dyDescent="0.25">
      <c r="A174" s="128" t="s">
        <v>194</v>
      </c>
      <c r="B174" s="103">
        <v>43709</v>
      </c>
      <c r="C174" s="103">
        <v>44074</v>
      </c>
      <c r="D174" s="114">
        <v>7500</v>
      </c>
      <c r="E174" s="110">
        <v>11.3</v>
      </c>
      <c r="F174" s="213"/>
      <c r="G174" s="110"/>
      <c r="H174" s="106" t="s">
        <v>463</v>
      </c>
      <c r="J174" s="228"/>
      <c r="K174" s="106"/>
      <c r="L174" s="184"/>
      <c r="M174" s="210"/>
    </row>
    <row r="175" spans="1:13" x14ac:dyDescent="0.25">
      <c r="A175" s="227" t="s">
        <v>410</v>
      </c>
      <c r="B175" s="108">
        <v>44075</v>
      </c>
      <c r="C175" s="108">
        <v>44469</v>
      </c>
      <c r="D175" s="114">
        <v>10000</v>
      </c>
      <c r="E175" s="110">
        <v>44085</v>
      </c>
      <c r="F175" s="213" t="s">
        <v>411</v>
      </c>
      <c r="G175" s="110">
        <v>44119</v>
      </c>
      <c r="H175" s="106" t="s">
        <v>434</v>
      </c>
      <c r="J175" s="228"/>
      <c r="K175" s="106"/>
      <c r="L175" s="184"/>
      <c r="M175" s="210"/>
    </row>
    <row r="176" spans="1:13" x14ac:dyDescent="0.25">
      <c r="A176" s="107" t="s">
        <v>178</v>
      </c>
      <c r="B176" s="108">
        <v>43678</v>
      </c>
      <c r="C176" s="108">
        <v>44043</v>
      </c>
      <c r="D176" s="114">
        <v>7500</v>
      </c>
      <c r="E176" s="110" t="s">
        <v>659</v>
      </c>
      <c r="F176" s="213"/>
      <c r="G176" s="110"/>
      <c r="H176" s="106" t="s">
        <v>211</v>
      </c>
      <c r="J176" s="107" t="s">
        <v>238</v>
      </c>
      <c r="K176" s="107"/>
      <c r="L176" s="229">
        <f>SUM(L168:L175)</f>
        <v>37500</v>
      </c>
      <c r="M176" s="106"/>
    </row>
    <row r="177" spans="1:13" x14ac:dyDescent="0.25">
      <c r="A177" s="107" t="s">
        <v>195</v>
      </c>
      <c r="B177" s="108">
        <v>43891</v>
      </c>
      <c r="C177" s="170">
        <v>44255</v>
      </c>
      <c r="D177" s="109">
        <v>10000</v>
      </c>
      <c r="E177" s="110">
        <v>43999</v>
      </c>
      <c r="F177" s="213" t="s">
        <v>196</v>
      </c>
      <c r="G177" s="110"/>
      <c r="H177" s="106" t="s">
        <v>247</v>
      </c>
      <c r="K177" s="230"/>
      <c r="L177" s="230"/>
      <c r="M177" s="230"/>
    </row>
    <row r="178" spans="1:13" x14ac:dyDescent="0.25">
      <c r="A178" s="107" t="s">
        <v>450</v>
      </c>
      <c r="B178" s="108">
        <v>43891</v>
      </c>
      <c r="C178" s="170">
        <v>44255</v>
      </c>
      <c r="D178" s="109">
        <v>7500</v>
      </c>
      <c r="E178" s="110">
        <v>43948</v>
      </c>
      <c r="F178" s="213"/>
      <c r="G178" s="110"/>
      <c r="H178" s="106" t="s">
        <v>660</v>
      </c>
      <c r="K178" s="230"/>
      <c r="L178" s="230"/>
      <c r="M178" s="230"/>
    </row>
    <row r="179" spans="1:13" x14ac:dyDescent="0.25">
      <c r="A179" s="163"/>
      <c r="B179" s="191"/>
      <c r="C179" s="191"/>
      <c r="D179" s="192"/>
      <c r="E179" s="225"/>
      <c r="F179" s="633"/>
      <c r="G179" s="225"/>
      <c r="K179" s="163"/>
      <c r="L179" s="231"/>
    </row>
    <row r="180" spans="1:13" x14ac:dyDescent="0.25">
      <c r="J180" s="99" t="s">
        <v>939</v>
      </c>
    </row>
    <row r="181" spans="1:13" x14ac:dyDescent="0.25">
      <c r="A181" s="190"/>
      <c r="B181" s="191"/>
      <c r="C181" s="191"/>
      <c r="D181" s="192"/>
      <c r="E181" s="193"/>
      <c r="F181" s="462"/>
      <c r="G181" s="193"/>
      <c r="J181" s="115" t="s">
        <v>719</v>
      </c>
      <c r="K181" s="106" t="s">
        <v>731</v>
      </c>
      <c r="L181" s="184">
        <v>7500</v>
      </c>
      <c r="M181" s="148" t="s">
        <v>784</v>
      </c>
    </row>
    <row r="182" spans="1:13" x14ac:dyDescent="0.25">
      <c r="A182" s="190"/>
      <c r="B182" s="191"/>
      <c r="C182" s="191"/>
      <c r="D182" s="192"/>
      <c r="E182" s="193"/>
      <c r="F182" s="462"/>
      <c r="G182" s="193"/>
      <c r="J182" s="115" t="s">
        <v>719</v>
      </c>
      <c r="K182" s="106" t="s">
        <v>632</v>
      </c>
      <c r="L182" s="184">
        <v>7500</v>
      </c>
      <c r="M182" s="106" t="s">
        <v>811</v>
      </c>
    </row>
    <row r="183" spans="1:13" x14ac:dyDescent="0.25">
      <c r="A183" s="38" t="s">
        <v>198</v>
      </c>
      <c r="B183" s="38" t="s">
        <v>199</v>
      </c>
      <c r="C183" s="38" t="s">
        <v>145</v>
      </c>
      <c r="D183" s="38" t="s">
        <v>200</v>
      </c>
      <c r="E183" s="40" t="s">
        <v>148</v>
      </c>
      <c r="F183" s="40" t="s">
        <v>146</v>
      </c>
      <c r="G183" s="40" t="s">
        <v>201</v>
      </c>
      <c r="H183" s="38" t="s">
        <v>202</v>
      </c>
      <c r="J183" s="115" t="s">
        <v>719</v>
      </c>
      <c r="K183" s="106" t="s">
        <v>783</v>
      </c>
      <c r="L183" s="184">
        <v>7500</v>
      </c>
      <c r="M183" s="106" t="s">
        <v>811</v>
      </c>
    </row>
    <row r="184" spans="1:13" x14ac:dyDescent="0.25">
      <c r="A184" s="102" t="s">
        <v>174</v>
      </c>
      <c r="B184" s="103">
        <v>44197</v>
      </c>
      <c r="C184" s="103">
        <v>44561</v>
      </c>
      <c r="D184" s="104">
        <v>7500</v>
      </c>
      <c r="E184" s="105">
        <v>44197</v>
      </c>
      <c r="F184" s="465" t="s">
        <v>514</v>
      </c>
      <c r="G184" s="105">
        <v>44265</v>
      </c>
      <c r="H184" s="197"/>
      <c r="J184" s="115" t="s">
        <v>719</v>
      </c>
      <c r="K184" s="106" t="s">
        <v>599</v>
      </c>
      <c r="L184" s="184">
        <v>7500</v>
      </c>
      <c r="M184" s="106" t="s">
        <v>812</v>
      </c>
    </row>
    <row r="185" spans="1:13" x14ac:dyDescent="0.25">
      <c r="A185" s="107" t="s">
        <v>179</v>
      </c>
      <c r="B185" s="108">
        <v>44197</v>
      </c>
      <c r="C185" s="108">
        <v>44561</v>
      </c>
      <c r="D185" s="114">
        <v>18000</v>
      </c>
      <c r="E185" s="110">
        <v>44229</v>
      </c>
      <c r="F185" s="213" t="s">
        <v>544</v>
      </c>
      <c r="G185" s="110">
        <v>44315</v>
      </c>
      <c r="H185" s="197"/>
      <c r="J185" s="115" t="s">
        <v>767</v>
      </c>
      <c r="K185" s="106" t="s">
        <v>805</v>
      </c>
      <c r="L185" s="184">
        <v>7500</v>
      </c>
      <c r="M185" s="106" t="s">
        <v>841</v>
      </c>
    </row>
    <row r="186" spans="1:13" x14ac:dyDescent="0.25">
      <c r="A186" s="107" t="s">
        <v>160</v>
      </c>
      <c r="B186" s="108">
        <v>44197</v>
      </c>
      <c r="C186" s="108">
        <v>44561</v>
      </c>
      <c r="D186" s="114">
        <v>7500</v>
      </c>
      <c r="E186" s="110">
        <v>44172</v>
      </c>
      <c r="F186" s="213" t="s">
        <v>473</v>
      </c>
      <c r="G186" s="110">
        <v>44196</v>
      </c>
      <c r="H186" s="106"/>
      <c r="J186" s="115" t="s">
        <v>767</v>
      </c>
      <c r="K186" s="106" t="s">
        <v>835</v>
      </c>
      <c r="L186" s="184">
        <v>7500</v>
      </c>
      <c r="M186" s="106" t="s">
        <v>875</v>
      </c>
    </row>
    <row r="187" spans="1:13" x14ac:dyDescent="0.25">
      <c r="A187" s="131" t="s">
        <v>415</v>
      </c>
      <c r="B187" s="108">
        <v>44197</v>
      </c>
      <c r="C187" s="108">
        <v>44561</v>
      </c>
      <c r="D187" s="114">
        <v>11500</v>
      </c>
      <c r="E187" s="110">
        <v>44215</v>
      </c>
      <c r="F187" s="213" t="s">
        <v>513</v>
      </c>
      <c r="G187" s="110">
        <v>44333</v>
      </c>
      <c r="H187" s="106"/>
      <c r="J187" s="115" t="s">
        <v>767</v>
      </c>
      <c r="K187" s="106" t="s">
        <v>838</v>
      </c>
      <c r="L187" s="184">
        <v>7500</v>
      </c>
      <c r="M187" s="106" t="s">
        <v>907</v>
      </c>
    </row>
    <row r="188" spans="1:13" x14ac:dyDescent="0.25">
      <c r="A188" s="107" t="s">
        <v>156</v>
      </c>
      <c r="B188" s="108">
        <v>44228</v>
      </c>
      <c r="C188" s="108">
        <v>44227</v>
      </c>
      <c r="D188" s="114">
        <v>7500</v>
      </c>
      <c r="E188" s="110">
        <v>44227</v>
      </c>
      <c r="F188" s="213" t="s">
        <v>517</v>
      </c>
      <c r="G188" s="110">
        <v>44333</v>
      </c>
      <c r="H188" s="106"/>
      <c r="J188" s="115" t="s">
        <v>810</v>
      </c>
      <c r="K188" s="106" t="s">
        <v>236</v>
      </c>
      <c r="L188" s="184">
        <v>7500</v>
      </c>
      <c r="M188" s="106" t="s">
        <v>908</v>
      </c>
    </row>
    <row r="189" spans="1:13" x14ac:dyDescent="0.25">
      <c r="A189" s="107" t="s">
        <v>158</v>
      </c>
      <c r="B189" s="108">
        <v>44228</v>
      </c>
      <c r="C189" s="108">
        <v>44592</v>
      </c>
      <c r="D189" s="114">
        <v>7500</v>
      </c>
      <c r="E189" s="110">
        <v>44227</v>
      </c>
      <c r="F189" s="213" t="s">
        <v>519</v>
      </c>
      <c r="G189" s="110">
        <v>44286</v>
      </c>
      <c r="H189" s="106"/>
      <c r="J189" s="115" t="s">
        <v>810</v>
      </c>
      <c r="K189" s="106" t="s">
        <v>839</v>
      </c>
      <c r="L189" s="184">
        <v>7500</v>
      </c>
      <c r="M189" s="106" t="s">
        <v>908</v>
      </c>
    </row>
    <row r="190" spans="1:13" x14ac:dyDescent="0.25">
      <c r="A190" s="107" t="s">
        <v>166</v>
      </c>
      <c r="B190" s="108">
        <v>44228</v>
      </c>
      <c r="C190" s="170">
        <v>44592</v>
      </c>
      <c r="D190" s="109">
        <v>7500</v>
      </c>
      <c r="E190" s="110">
        <v>44227</v>
      </c>
      <c r="F190" s="213" t="s">
        <v>522</v>
      </c>
      <c r="G190" s="110">
        <v>44270</v>
      </c>
      <c r="H190" s="106"/>
      <c r="J190" s="115" t="s">
        <v>810</v>
      </c>
      <c r="K190" s="106" t="s">
        <v>837</v>
      </c>
      <c r="L190" s="184">
        <v>7500</v>
      </c>
      <c r="M190" s="106" t="s">
        <v>908</v>
      </c>
    </row>
    <row r="191" spans="1:13" x14ac:dyDescent="0.25">
      <c r="A191" s="131" t="s">
        <v>520</v>
      </c>
      <c r="B191" s="108">
        <v>44228</v>
      </c>
      <c r="C191" s="108">
        <v>44592</v>
      </c>
      <c r="D191" s="114">
        <v>7500</v>
      </c>
      <c r="E191" s="110">
        <v>44228</v>
      </c>
      <c r="F191" s="213" t="s">
        <v>543</v>
      </c>
      <c r="G191" s="110">
        <v>44252</v>
      </c>
      <c r="H191" s="106"/>
      <c r="J191" s="115" t="s">
        <v>810</v>
      </c>
      <c r="K191" s="106" t="s">
        <v>809</v>
      </c>
      <c r="L191" s="184">
        <v>7500</v>
      </c>
      <c r="M191" s="106" t="s">
        <v>914</v>
      </c>
    </row>
    <row r="192" spans="1:13" x14ac:dyDescent="0.25">
      <c r="A192" s="107" t="s">
        <v>105</v>
      </c>
      <c r="B192" s="108">
        <v>44256</v>
      </c>
      <c r="C192" s="170">
        <v>44620</v>
      </c>
      <c r="D192" s="114">
        <v>7500</v>
      </c>
      <c r="E192" s="110">
        <v>44256</v>
      </c>
      <c r="F192" s="213" t="s">
        <v>523</v>
      </c>
      <c r="G192" s="110">
        <v>44253</v>
      </c>
      <c r="H192" s="106"/>
      <c r="J192" s="115" t="s">
        <v>810</v>
      </c>
      <c r="K192" s="106" t="s">
        <v>804</v>
      </c>
      <c r="L192" s="184">
        <v>7500</v>
      </c>
      <c r="M192" s="106" t="s">
        <v>941</v>
      </c>
    </row>
    <row r="193" spans="1:14" x14ac:dyDescent="0.25">
      <c r="A193" s="131" t="s">
        <v>546</v>
      </c>
      <c r="B193" s="108">
        <v>44256</v>
      </c>
      <c r="C193" s="108">
        <v>44620</v>
      </c>
      <c r="D193" s="114">
        <v>7500</v>
      </c>
      <c r="E193" s="110">
        <v>44256</v>
      </c>
      <c r="F193" s="213" t="s">
        <v>547</v>
      </c>
      <c r="G193" s="110">
        <v>44270</v>
      </c>
      <c r="H193" s="106"/>
      <c r="J193" s="115" t="s">
        <v>810</v>
      </c>
      <c r="K193" s="106" t="s">
        <v>840</v>
      </c>
      <c r="L193" s="184">
        <v>7500</v>
      </c>
      <c r="M193" s="106" t="s">
        <v>941</v>
      </c>
    </row>
    <row r="194" spans="1:14" x14ac:dyDescent="0.25">
      <c r="A194" s="131" t="s">
        <v>576</v>
      </c>
      <c r="B194" s="108">
        <v>44287</v>
      </c>
      <c r="C194" s="108">
        <v>44651</v>
      </c>
      <c r="D194" s="114">
        <v>11500</v>
      </c>
      <c r="E194" s="110">
        <v>44280</v>
      </c>
      <c r="F194" s="213" t="s">
        <v>577</v>
      </c>
      <c r="G194" s="110">
        <v>44418</v>
      </c>
      <c r="H194" s="106"/>
      <c r="J194" s="115" t="s">
        <v>810</v>
      </c>
      <c r="K194" s="106" t="s">
        <v>806</v>
      </c>
      <c r="L194" s="184">
        <v>7500</v>
      </c>
      <c r="M194" s="106" t="s">
        <v>941</v>
      </c>
    </row>
    <row r="195" spans="1:14" x14ac:dyDescent="0.25">
      <c r="A195" s="107" t="s">
        <v>580</v>
      </c>
      <c r="B195" s="108">
        <v>44287</v>
      </c>
      <c r="C195" s="108">
        <v>44651</v>
      </c>
      <c r="D195" s="114">
        <v>7500</v>
      </c>
      <c r="E195" s="110">
        <v>44291</v>
      </c>
      <c r="F195" s="213" t="s">
        <v>592</v>
      </c>
      <c r="G195" s="110">
        <v>44319</v>
      </c>
      <c r="H195" s="106"/>
      <c r="J195" s="228" t="s">
        <v>924</v>
      </c>
      <c r="K195" s="112" t="s">
        <v>936</v>
      </c>
      <c r="L195" s="184">
        <v>7500</v>
      </c>
      <c r="M195" s="210" t="s">
        <v>1018</v>
      </c>
      <c r="N195" s="191" t="s">
        <v>787</v>
      </c>
    </row>
    <row r="196" spans="1:14" x14ac:dyDescent="0.25">
      <c r="A196" s="128" t="s">
        <v>168</v>
      </c>
      <c r="B196" s="108">
        <v>44287</v>
      </c>
      <c r="C196" s="108">
        <v>44651</v>
      </c>
      <c r="D196" s="114">
        <v>7500</v>
      </c>
      <c r="E196" s="110">
        <v>44287</v>
      </c>
      <c r="F196" s="213" t="s">
        <v>578</v>
      </c>
      <c r="G196" s="110">
        <v>44299</v>
      </c>
      <c r="H196" s="106"/>
      <c r="J196" s="232"/>
      <c r="L196" s="205"/>
      <c r="N196" s="113" t="s">
        <v>590</v>
      </c>
    </row>
    <row r="197" spans="1:14" x14ac:dyDescent="0.25">
      <c r="A197" s="202" t="s">
        <v>172</v>
      </c>
      <c r="B197" s="108">
        <v>44317</v>
      </c>
      <c r="C197" s="108">
        <v>44681</v>
      </c>
      <c r="D197" s="114">
        <v>7500</v>
      </c>
      <c r="E197" s="110">
        <v>44317</v>
      </c>
      <c r="F197" s="213" t="s">
        <v>622</v>
      </c>
      <c r="G197" s="110">
        <v>44361</v>
      </c>
      <c r="H197" s="106"/>
      <c r="J197" s="232"/>
      <c r="L197" s="205"/>
      <c r="N197" s="113" t="s">
        <v>788</v>
      </c>
    </row>
    <row r="198" spans="1:14" x14ac:dyDescent="0.25">
      <c r="A198" s="107" t="s">
        <v>188</v>
      </c>
      <c r="B198" s="108">
        <v>44348</v>
      </c>
      <c r="C198" s="108">
        <v>44712</v>
      </c>
      <c r="D198" s="114">
        <v>11500</v>
      </c>
      <c r="E198" s="110">
        <v>44124</v>
      </c>
      <c r="F198" s="213" t="s">
        <v>427</v>
      </c>
      <c r="G198" s="110">
        <v>44124</v>
      </c>
      <c r="H198" s="106"/>
      <c r="J198" s="191"/>
      <c r="K198" s="191"/>
      <c r="L198" s="192"/>
      <c r="M198" s="193"/>
    </row>
    <row r="199" spans="1:14" x14ac:dyDescent="0.25">
      <c r="A199" s="107" t="s">
        <v>150</v>
      </c>
      <c r="B199" s="108">
        <v>44378</v>
      </c>
      <c r="C199" s="108">
        <v>44743</v>
      </c>
      <c r="D199" s="114">
        <v>7500</v>
      </c>
      <c r="E199" s="110">
        <v>44376</v>
      </c>
      <c r="F199" s="213" t="s">
        <v>631</v>
      </c>
      <c r="G199" s="110">
        <v>44431</v>
      </c>
      <c r="H199" s="106"/>
      <c r="J199" s="232"/>
      <c r="L199" s="205"/>
    </row>
    <row r="200" spans="1:14" x14ac:dyDescent="0.25">
      <c r="A200" s="107" t="s">
        <v>220</v>
      </c>
      <c r="B200" s="108">
        <v>44378</v>
      </c>
      <c r="C200" s="108">
        <v>44742</v>
      </c>
      <c r="D200" s="114">
        <v>7500</v>
      </c>
      <c r="E200" s="110">
        <v>44378</v>
      </c>
      <c r="F200" s="213" t="s">
        <v>633</v>
      </c>
      <c r="G200" s="110">
        <v>44439</v>
      </c>
      <c r="H200" s="106"/>
      <c r="J200" s="232"/>
      <c r="L200" s="205"/>
    </row>
    <row r="201" spans="1:14" x14ac:dyDescent="0.25">
      <c r="A201" s="207" t="s">
        <v>596</v>
      </c>
      <c r="B201" s="108">
        <v>44378</v>
      </c>
      <c r="C201" s="108">
        <v>44742</v>
      </c>
      <c r="D201" s="114">
        <v>18000</v>
      </c>
      <c r="E201" s="110">
        <v>44369</v>
      </c>
      <c r="F201" s="213" t="s">
        <v>629</v>
      </c>
      <c r="G201" s="110">
        <v>44389</v>
      </c>
      <c r="H201" s="106"/>
      <c r="J201" s="232"/>
      <c r="L201" s="205"/>
      <c r="N201" s="101" t="s">
        <v>518</v>
      </c>
    </row>
    <row r="202" spans="1:14" x14ac:dyDescent="0.25">
      <c r="A202" s="207" t="s">
        <v>651</v>
      </c>
      <c r="B202" s="108">
        <v>44378</v>
      </c>
      <c r="C202" s="108">
        <v>44742</v>
      </c>
      <c r="D202" s="114">
        <v>7500</v>
      </c>
      <c r="E202" s="110">
        <v>44378</v>
      </c>
      <c r="F202" s="213" t="s">
        <v>449</v>
      </c>
      <c r="G202" s="110">
        <v>44172</v>
      </c>
      <c r="H202" s="106"/>
      <c r="J202" s="232"/>
      <c r="L202" s="205"/>
      <c r="N202" s="101" t="s">
        <v>521</v>
      </c>
    </row>
    <row r="203" spans="1:14" x14ac:dyDescent="0.25">
      <c r="A203" s="107" t="s">
        <v>169</v>
      </c>
      <c r="B203" s="108">
        <v>44409</v>
      </c>
      <c r="C203" s="108">
        <v>44773</v>
      </c>
      <c r="D203" s="114">
        <v>7500</v>
      </c>
      <c r="E203" s="110">
        <v>44409</v>
      </c>
      <c r="F203" s="213" t="s">
        <v>635</v>
      </c>
      <c r="G203" s="110">
        <v>44399</v>
      </c>
      <c r="H203" s="106"/>
      <c r="J203" s="232"/>
      <c r="L203" s="205"/>
      <c r="N203" s="101" t="s">
        <v>688</v>
      </c>
    </row>
    <row r="204" spans="1:14" x14ac:dyDescent="0.25">
      <c r="A204" s="107" t="s">
        <v>221</v>
      </c>
      <c r="B204" s="108">
        <v>44409</v>
      </c>
      <c r="C204" s="108">
        <v>44773</v>
      </c>
      <c r="D204" s="114">
        <v>7500</v>
      </c>
      <c r="E204" s="110">
        <v>44409</v>
      </c>
      <c r="F204" s="213" t="s">
        <v>654</v>
      </c>
      <c r="G204" s="110">
        <v>44420</v>
      </c>
      <c r="H204" s="106"/>
      <c r="J204" s="232"/>
      <c r="L204" s="205"/>
      <c r="N204" s="101" t="s">
        <v>590</v>
      </c>
    </row>
    <row r="205" spans="1:14" x14ac:dyDescent="0.25">
      <c r="A205" s="107" t="s">
        <v>178</v>
      </c>
      <c r="B205" s="108">
        <v>44409</v>
      </c>
      <c r="C205" s="108">
        <v>44773</v>
      </c>
      <c r="D205" s="114">
        <v>7500</v>
      </c>
      <c r="E205" s="110">
        <v>44409</v>
      </c>
      <c r="F205" s="213" t="s">
        <v>709</v>
      </c>
      <c r="G205" s="110">
        <v>44532</v>
      </c>
      <c r="H205" s="148"/>
      <c r="J205" s="232"/>
      <c r="L205" s="205"/>
      <c r="N205" s="101" t="s">
        <v>590</v>
      </c>
    </row>
    <row r="206" spans="1:14" x14ac:dyDescent="0.25">
      <c r="A206" s="107" t="s">
        <v>653</v>
      </c>
      <c r="B206" s="108">
        <v>44409</v>
      </c>
      <c r="C206" s="108">
        <v>44773</v>
      </c>
      <c r="D206" s="114">
        <v>7500</v>
      </c>
      <c r="E206" s="110">
        <v>44410</v>
      </c>
      <c r="F206" s="213" t="s">
        <v>655</v>
      </c>
      <c r="G206" s="110">
        <v>44474</v>
      </c>
      <c r="H206" s="106"/>
      <c r="J206" s="232"/>
      <c r="L206" s="205"/>
      <c r="N206" s="101" t="s">
        <v>630</v>
      </c>
    </row>
    <row r="207" spans="1:14" x14ac:dyDescent="0.25">
      <c r="A207" s="107" t="s">
        <v>623</v>
      </c>
      <c r="B207" s="108">
        <v>44409</v>
      </c>
      <c r="C207" s="108">
        <v>44773</v>
      </c>
      <c r="D207" s="114">
        <v>0</v>
      </c>
      <c r="E207" s="110">
        <v>44410</v>
      </c>
      <c r="F207" s="213" t="s">
        <v>656</v>
      </c>
      <c r="G207" s="110"/>
      <c r="H207" s="164" t="s">
        <v>790</v>
      </c>
      <c r="J207" s="232"/>
      <c r="L207" s="205"/>
      <c r="N207" s="101" t="s">
        <v>630</v>
      </c>
    </row>
    <row r="208" spans="1:14" x14ac:dyDescent="0.25">
      <c r="A208" s="107" t="s">
        <v>380</v>
      </c>
      <c r="B208" s="108">
        <v>44409</v>
      </c>
      <c r="C208" s="170">
        <v>44773</v>
      </c>
      <c r="D208" s="109">
        <v>7500</v>
      </c>
      <c r="E208" s="110">
        <v>44409</v>
      </c>
      <c r="F208" s="213" t="s">
        <v>690</v>
      </c>
      <c r="G208" s="110">
        <v>44691</v>
      </c>
      <c r="H208" s="106"/>
      <c r="J208" s="232"/>
      <c r="L208" s="205"/>
      <c r="N208" s="101" t="s">
        <v>652</v>
      </c>
    </row>
    <row r="209" spans="1:14" x14ac:dyDescent="0.25">
      <c r="A209" s="107" t="s">
        <v>228</v>
      </c>
      <c r="B209" s="108">
        <v>44440</v>
      </c>
      <c r="C209" s="170">
        <v>44804</v>
      </c>
      <c r="D209" s="109">
        <v>7500</v>
      </c>
      <c r="E209" s="110">
        <v>44460</v>
      </c>
      <c r="F209" s="213" t="s">
        <v>691</v>
      </c>
      <c r="G209" s="110">
        <v>44620</v>
      </c>
      <c r="H209" s="208" t="s">
        <v>692</v>
      </c>
      <c r="J209" s="232"/>
      <c r="L209" s="205"/>
      <c r="N209" s="101" t="s">
        <v>652</v>
      </c>
    </row>
    <row r="210" spans="1:14" x14ac:dyDescent="0.25">
      <c r="A210" s="107" t="s">
        <v>152</v>
      </c>
      <c r="B210" s="108">
        <v>44440</v>
      </c>
      <c r="C210" s="108">
        <v>44804</v>
      </c>
      <c r="D210" s="114">
        <v>7500</v>
      </c>
      <c r="E210" s="110">
        <v>44440</v>
      </c>
      <c r="F210" s="213" t="s">
        <v>657</v>
      </c>
      <c r="G210" s="110">
        <v>44439</v>
      </c>
      <c r="H210" s="106"/>
      <c r="J210" s="232"/>
      <c r="L210" s="205"/>
      <c r="N210" s="101" t="s">
        <v>789</v>
      </c>
    </row>
    <row r="211" spans="1:14" x14ac:dyDescent="0.25">
      <c r="A211" s="172" t="s">
        <v>162</v>
      </c>
      <c r="B211" s="170">
        <v>44440</v>
      </c>
      <c r="C211" s="170">
        <v>44804</v>
      </c>
      <c r="D211" s="109">
        <v>25000</v>
      </c>
      <c r="E211" s="110">
        <v>44440</v>
      </c>
      <c r="F211" s="213" t="s">
        <v>699</v>
      </c>
      <c r="G211" s="110">
        <v>44487</v>
      </c>
      <c r="H211" s="106"/>
      <c r="J211" s="232"/>
      <c r="L211" s="205"/>
      <c r="N211" s="101" t="s">
        <v>789</v>
      </c>
    </row>
    <row r="212" spans="1:14" x14ac:dyDescent="0.25">
      <c r="A212" s="107" t="s">
        <v>185</v>
      </c>
      <c r="B212" s="108">
        <v>44440</v>
      </c>
      <c r="C212" s="108">
        <v>44804</v>
      </c>
      <c r="D212" s="114">
        <v>7500</v>
      </c>
      <c r="E212" s="110">
        <v>44440</v>
      </c>
      <c r="F212" s="213" t="s">
        <v>733</v>
      </c>
      <c r="G212" s="110">
        <v>44676</v>
      </c>
      <c r="H212" s="106"/>
      <c r="J212" s="232"/>
      <c r="L212" s="205"/>
    </row>
    <row r="213" spans="1:14" x14ac:dyDescent="0.25">
      <c r="A213" s="172" t="s">
        <v>161</v>
      </c>
      <c r="B213" s="170">
        <v>44470</v>
      </c>
      <c r="C213" s="108">
        <v>44834</v>
      </c>
      <c r="D213" s="114">
        <v>8000</v>
      </c>
      <c r="E213" s="110">
        <v>44470</v>
      </c>
      <c r="F213" s="213" t="s">
        <v>734</v>
      </c>
      <c r="G213" s="110">
        <v>44551</v>
      </c>
      <c r="H213" s="164"/>
      <c r="J213" s="232"/>
      <c r="L213" s="205"/>
    </row>
    <row r="214" spans="1:14" x14ac:dyDescent="0.25">
      <c r="A214" s="107" t="s">
        <v>209</v>
      </c>
      <c r="B214" s="108">
        <v>44501</v>
      </c>
      <c r="C214" s="108">
        <v>44865</v>
      </c>
      <c r="D214" s="114">
        <v>10000</v>
      </c>
      <c r="E214" s="110">
        <v>44501</v>
      </c>
      <c r="F214" s="213" t="s">
        <v>735</v>
      </c>
      <c r="G214" s="110">
        <v>44574</v>
      </c>
      <c r="H214" s="106"/>
      <c r="J214" s="232"/>
      <c r="L214" s="205"/>
    </row>
    <row r="215" spans="1:14" x14ac:dyDescent="0.25">
      <c r="A215" s="131" t="s">
        <v>171</v>
      </c>
      <c r="B215" s="108">
        <v>44501</v>
      </c>
      <c r="C215" s="108">
        <v>44865</v>
      </c>
      <c r="D215" s="114">
        <v>7500</v>
      </c>
      <c r="E215" s="110">
        <v>44501</v>
      </c>
      <c r="F215" s="213" t="s">
        <v>711</v>
      </c>
      <c r="G215" s="110">
        <v>44600</v>
      </c>
      <c r="H215" s="106"/>
      <c r="J215" s="232"/>
      <c r="L215" s="205"/>
    </row>
    <row r="216" spans="1:14" x14ac:dyDescent="0.25">
      <c r="A216" s="131" t="s">
        <v>454</v>
      </c>
      <c r="B216" s="108">
        <v>44531</v>
      </c>
      <c r="C216" s="108">
        <v>44895</v>
      </c>
      <c r="D216" s="114">
        <v>7500</v>
      </c>
      <c r="E216" s="110">
        <v>44531</v>
      </c>
      <c r="F216" s="213" t="s">
        <v>753</v>
      </c>
      <c r="G216" s="110">
        <v>44670</v>
      </c>
      <c r="H216" s="106"/>
      <c r="J216" s="232"/>
      <c r="L216" s="205"/>
    </row>
    <row r="217" spans="1:14" x14ac:dyDescent="0.25">
      <c r="A217" s="131" t="s">
        <v>736</v>
      </c>
      <c r="B217" s="108">
        <v>44531</v>
      </c>
      <c r="C217" s="108">
        <v>44895</v>
      </c>
      <c r="D217" s="114">
        <v>11500</v>
      </c>
      <c r="E217" s="110">
        <v>44531</v>
      </c>
      <c r="F217" s="213" t="s">
        <v>737</v>
      </c>
      <c r="G217" s="110">
        <v>44560</v>
      </c>
      <c r="H217" s="106"/>
      <c r="J217" s="232"/>
      <c r="L217" s="205"/>
    </row>
    <row r="218" spans="1:14" x14ac:dyDescent="0.25">
      <c r="A218" s="131" t="s">
        <v>472</v>
      </c>
      <c r="B218" s="108">
        <v>44531</v>
      </c>
      <c r="C218" s="108">
        <v>44895</v>
      </c>
      <c r="D218" s="114">
        <v>7500</v>
      </c>
      <c r="E218" s="110">
        <v>44531</v>
      </c>
      <c r="F218" s="213" t="s">
        <v>754</v>
      </c>
      <c r="G218" s="110">
        <v>44551</v>
      </c>
      <c r="H218" s="106"/>
      <c r="J218" s="232"/>
      <c r="L218" s="205"/>
    </row>
    <row r="219" spans="1:14" x14ac:dyDescent="0.25">
      <c r="A219" s="131" t="s">
        <v>717</v>
      </c>
      <c r="B219" s="108">
        <v>44531</v>
      </c>
      <c r="C219" s="108">
        <v>44895</v>
      </c>
      <c r="D219" s="114">
        <v>11500</v>
      </c>
      <c r="E219" s="110">
        <v>44531</v>
      </c>
      <c r="F219" s="213" t="s">
        <v>738</v>
      </c>
      <c r="G219" s="110">
        <v>44546</v>
      </c>
      <c r="H219" s="106"/>
      <c r="J219" s="38" t="s">
        <v>593</v>
      </c>
      <c r="K219" s="38" t="s">
        <v>204</v>
      </c>
      <c r="L219" s="38" t="s">
        <v>206</v>
      </c>
      <c r="M219" s="38" t="s">
        <v>594</v>
      </c>
    </row>
    <row r="220" spans="1:14" x14ac:dyDescent="0.25">
      <c r="J220" s="176" t="s">
        <v>107</v>
      </c>
      <c r="K220" s="233">
        <v>7500</v>
      </c>
      <c r="L220" s="234">
        <f>K220*7/12</f>
        <v>4375</v>
      </c>
      <c r="M220" s="234">
        <f>K220-L220</f>
        <v>3125</v>
      </c>
    </row>
    <row r="221" spans="1:14" x14ac:dyDescent="0.25">
      <c r="J221" s="176" t="s">
        <v>104</v>
      </c>
      <c r="K221" s="233">
        <v>7500</v>
      </c>
      <c r="L221" s="234">
        <f>K221*9/12</f>
        <v>5625</v>
      </c>
      <c r="M221" s="234">
        <f>K221-L221</f>
        <v>1875</v>
      </c>
    </row>
    <row r="222" spans="1:14" x14ac:dyDescent="0.25">
      <c r="J222" s="106" t="s">
        <v>190</v>
      </c>
      <c r="K222" s="233">
        <v>11500</v>
      </c>
      <c r="L222" s="234">
        <f>+K222*0.25</f>
        <v>2875</v>
      </c>
      <c r="M222" s="234">
        <f>+K222*0.75</f>
        <v>8625</v>
      </c>
    </row>
    <row r="223" spans="1:14" x14ac:dyDescent="0.25">
      <c r="A223" s="38" t="s">
        <v>198</v>
      </c>
      <c r="B223" s="38" t="s">
        <v>199</v>
      </c>
      <c r="C223" s="38" t="s">
        <v>145</v>
      </c>
      <c r="D223" s="38" t="s">
        <v>200</v>
      </c>
      <c r="E223" s="40" t="s">
        <v>148</v>
      </c>
      <c r="F223" s="40" t="s">
        <v>146</v>
      </c>
      <c r="G223" s="40" t="s">
        <v>201</v>
      </c>
      <c r="H223" s="38" t="s">
        <v>202</v>
      </c>
      <c r="J223" s="107" t="s">
        <v>1</v>
      </c>
      <c r="K223" s="235">
        <f>SUM(K220:K222)</f>
        <v>26500</v>
      </c>
      <c r="L223" s="235">
        <f>SUM(L220:L222)</f>
        <v>12875</v>
      </c>
      <c r="M223" s="235">
        <f>SUM(M220:M222)</f>
        <v>13625</v>
      </c>
    </row>
    <row r="224" spans="1:14" x14ac:dyDescent="0.25">
      <c r="A224" s="131" t="s">
        <v>174</v>
      </c>
      <c r="B224" s="108">
        <v>43831</v>
      </c>
      <c r="C224" s="108">
        <v>44196</v>
      </c>
      <c r="D224" s="114">
        <v>7500</v>
      </c>
      <c r="E224" s="110">
        <v>43819</v>
      </c>
      <c r="F224" s="213" t="s">
        <v>175</v>
      </c>
      <c r="G224" s="110">
        <v>43866</v>
      </c>
      <c r="H224" s="106"/>
      <c r="L224" s="219"/>
      <c r="M224" s="220"/>
    </row>
    <row r="225" spans="1:14" x14ac:dyDescent="0.25">
      <c r="A225" s="107" t="s">
        <v>179</v>
      </c>
      <c r="B225" s="108">
        <v>43831</v>
      </c>
      <c r="C225" s="108">
        <v>44196</v>
      </c>
      <c r="D225" s="114">
        <v>15000</v>
      </c>
      <c r="E225" s="110">
        <v>43853</v>
      </c>
      <c r="F225" s="213" t="s">
        <v>180</v>
      </c>
      <c r="G225" s="110">
        <v>44033</v>
      </c>
      <c r="H225" s="106"/>
      <c r="J225" s="100" t="s">
        <v>515</v>
      </c>
      <c r="K225" s="100" t="s">
        <v>204</v>
      </c>
      <c r="L225" s="100" t="s">
        <v>214</v>
      </c>
      <c r="M225" s="100" t="s">
        <v>516</v>
      </c>
    </row>
    <row r="226" spans="1:14" x14ac:dyDescent="0.25">
      <c r="A226" s="107" t="s">
        <v>156</v>
      </c>
      <c r="B226" s="108">
        <v>43862</v>
      </c>
      <c r="C226" s="108">
        <v>44227</v>
      </c>
      <c r="D226" s="114">
        <v>7500</v>
      </c>
      <c r="E226" s="110">
        <v>43879</v>
      </c>
      <c r="F226" s="213" t="s">
        <v>157</v>
      </c>
      <c r="G226" s="110">
        <v>43908</v>
      </c>
      <c r="H226" s="106"/>
      <c r="J226" s="115" t="s">
        <v>415</v>
      </c>
      <c r="K226" s="528">
        <v>11500</v>
      </c>
      <c r="L226" s="96">
        <f>K226</f>
        <v>11500</v>
      </c>
      <c r="M226" s="528">
        <v>0</v>
      </c>
    </row>
    <row r="227" spans="1:14" x14ac:dyDescent="0.25">
      <c r="A227" s="107" t="s">
        <v>158</v>
      </c>
      <c r="B227" s="108">
        <v>43862</v>
      </c>
      <c r="C227" s="108">
        <v>44227</v>
      </c>
      <c r="D227" s="114">
        <v>7500</v>
      </c>
      <c r="E227" s="110">
        <v>43850</v>
      </c>
      <c r="F227" s="213" t="s">
        <v>159</v>
      </c>
      <c r="G227" s="110">
        <v>43871</v>
      </c>
      <c r="H227" s="106"/>
      <c r="J227" s="106" t="s">
        <v>520</v>
      </c>
      <c r="K227" s="528">
        <v>7500</v>
      </c>
      <c r="L227" s="96">
        <f>K227*11/12</f>
        <v>6875</v>
      </c>
      <c r="M227" s="528">
        <f t="shared" ref="M227:M234" si="9">K227-L227</f>
        <v>625</v>
      </c>
    </row>
    <row r="228" spans="1:14" x14ac:dyDescent="0.25">
      <c r="A228" s="107" t="s">
        <v>166</v>
      </c>
      <c r="B228" s="108">
        <v>43862</v>
      </c>
      <c r="C228" s="170">
        <v>44227</v>
      </c>
      <c r="D228" s="109">
        <v>7500</v>
      </c>
      <c r="E228" s="110">
        <v>43858</v>
      </c>
      <c r="F228" s="213" t="s">
        <v>167</v>
      </c>
      <c r="G228" s="110">
        <v>43873</v>
      </c>
      <c r="H228" s="106"/>
      <c r="J228" s="106" t="s">
        <v>545</v>
      </c>
      <c r="K228" s="528">
        <v>7500</v>
      </c>
      <c r="L228" s="96">
        <f>K228*10/12</f>
        <v>6250</v>
      </c>
      <c r="M228" s="528">
        <f t="shared" si="9"/>
        <v>1250</v>
      </c>
    </row>
    <row r="229" spans="1:14" x14ac:dyDescent="0.25">
      <c r="A229" s="107" t="s">
        <v>192</v>
      </c>
      <c r="B229" s="108">
        <v>43862</v>
      </c>
      <c r="C229" s="108">
        <v>44227</v>
      </c>
      <c r="D229" s="114">
        <v>7500</v>
      </c>
      <c r="E229" s="110">
        <v>43861</v>
      </c>
      <c r="F229" s="213" t="s">
        <v>193</v>
      </c>
      <c r="G229" s="110">
        <v>43892</v>
      </c>
      <c r="H229" s="106"/>
      <c r="J229" s="106" t="s">
        <v>525</v>
      </c>
      <c r="K229" s="528">
        <v>11500</v>
      </c>
      <c r="L229" s="96">
        <f>K229*9/12</f>
        <v>8625</v>
      </c>
      <c r="M229" s="528">
        <f t="shared" si="9"/>
        <v>2875</v>
      </c>
    </row>
    <row r="230" spans="1:14" x14ac:dyDescent="0.25">
      <c r="A230" s="107" t="s">
        <v>105</v>
      </c>
      <c r="B230" s="108">
        <v>43891</v>
      </c>
      <c r="C230" s="170">
        <v>44255</v>
      </c>
      <c r="D230" s="114">
        <v>7500</v>
      </c>
      <c r="E230" s="110">
        <v>43891</v>
      </c>
      <c r="F230" s="213" t="s">
        <v>170</v>
      </c>
      <c r="G230" s="110">
        <v>43987</v>
      </c>
      <c r="H230" s="106"/>
      <c r="J230" s="115" t="s">
        <v>580</v>
      </c>
      <c r="K230" s="528">
        <v>7500</v>
      </c>
      <c r="L230" s="96">
        <f>K230*9/12</f>
        <v>5625</v>
      </c>
      <c r="M230" s="528">
        <f t="shared" si="9"/>
        <v>1875</v>
      </c>
    </row>
    <row r="231" spans="1:14" x14ac:dyDescent="0.25">
      <c r="A231" s="107" t="s">
        <v>104</v>
      </c>
      <c r="B231" s="108">
        <v>43922</v>
      </c>
      <c r="C231" s="108">
        <v>44286</v>
      </c>
      <c r="D231" s="114">
        <v>17500</v>
      </c>
      <c r="E231" s="110">
        <v>43922</v>
      </c>
      <c r="F231" s="213" t="s">
        <v>399</v>
      </c>
      <c r="G231" s="110" t="s">
        <v>400</v>
      </c>
      <c r="H231" s="106"/>
      <c r="J231" s="115" t="s">
        <v>596</v>
      </c>
      <c r="K231" s="528">
        <v>18000</v>
      </c>
      <c r="L231" s="96">
        <f>K231*6/12</f>
        <v>9000</v>
      </c>
      <c r="M231" s="528">
        <f t="shared" si="9"/>
        <v>9000</v>
      </c>
    </row>
    <row r="232" spans="1:14" x14ac:dyDescent="0.25">
      <c r="A232" s="107" t="s">
        <v>169</v>
      </c>
      <c r="B232" s="108">
        <v>43922</v>
      </c>
      <c r="C232" s="108">
        <v>44408</v>
      </c>
      <c r="D232" s="114">
        <v>7500</v>
      </c>
      <c r="E232" s="110">
        <v>44085</v>
      </c>
      <c r="F232" s="213" t="s">
        <v>412</v>
      </c>
      <c r="G232" s="110">
        <v>44126</v>
      </c>
      <c r="H232" s="106" t="s">
        <v>413</v>
      </c>
      <c r="J232" s="115" t="s">
        <v>651</v>
      </c>
      <c r="K232" s="528">
        <v>7500</v>
      </c>
      <c r="L232" s="96">
        <f>K232*6/12</f>
        <v>3750</v>
      </c>
      <c r="M232" s="528">
        <f t="shared" si="9"/>
        <v>3750</v>
      </c>
    </row>
    <row r="233" spans="1:14" x14ac:dyDescent="0.25">
      <c r="A233" s="202" t="s">
        <v>172</v>
      </c>
      <c r="B233" s="108">
        <v>43952</v>
      </c>
      <c r="C233" s="108">
        <v>44316</v>
      </c>
      <c r="D233" s="114">
        <v>7500</v>
      </c>
      <c r="E233" s="110">
        <v>43914</v>
      </c>
      <c r="F233" s="213" t="s">
        <v>173</v>
      </c>
      <c r="G233" s="110">
        <v>43921</v>
      </c>
      <c r="H233" s="106"/>
      <c r="J233" s="115" t="s">
        <v>623</v>
      </c>
      <c r="K233" s="528">
        <v>7500</v>
      </c>
      <c r="L233" s="96">
        <f>K233*5/12</f>
        <v>3125</v>
      </c>
      <c r="M233" s="528">
        <f t="shared" si="9"/>
        <v>4375</v>
      </c>
    </row>
    <row r="234" spans="1:14" x14ac:dyDescent="0.25">
      <c r="A234" s="107" t="s">
        <v>188</v>
      </c>
      <c r="B234" s="108">
        <v>43617</v>
      </c>
      <c r="C234" s="108">
        <v>44347</v>
      </c>
      <c r="D234" s="114"/>
      <c r="E234" s="110" t="s">
        <v>217</v>
      </c>
      <c r="F234" s="213"/>
      <c r="G234" s="110"/>
      <c r="H234" s="106" t="s">
        <v>218</v>
      </c>
      <c r="J234" s="106" t="s">
        <v>653</v>
      </c>
      <c r="K234" s="528">
        <v>7500</v>
      </c>
      <c r="L234" s="96">
        <f>K234*5/12</f>
        <v>3125</v>
      </c>
      <c r="M234" s="528">
        <f t="shared" si="9"/>
        <v>4375</v>
      </c>
    </row>
    <row r="235" spans="1:14" x14ac:dyDescent="0.25">
      <c r="A235" s="107" t="s">
        <v>107</v>
      </c>
      <c r="B235" s="108">
        <v>43983</v>
      </c>
      <c r="C235" s="108">
        <v>44347</v>
      </c>
      <c r="D235" s="114">
        <v>7500</v>
      </c>
      <c r="E235" s="110">
        <v>44136</v>
      </c>
      <c r="F235" s="213" t="s">
        <v>460</v>
      </c>
      <c r="G235" s="110">
        <v>44209</v>
      </c>
      <c r="H235" s="106"/>
      <c r="J235" s="106" t="s">
        <v>710</v>
      </c>
      <c r="K235" s="528">
        <v>11500</v>
      </c>
      <c r="L235" s="96">
        <f>+K235/12</f>
        <v>958.33333333333337</v>
      </c>
      <c r="M235" s="528">
        <f>+K235-L235</f>
        <v>10541.666666666666</v>
      </c>
    </row>
    <row r="236" spans="1:14" x14ac:dyDescent="0.25">
      <c r="A236" s="107" t="s">
        <v>150</v>
      </c>
      <c r="B236" s="108">
        <v>44013</v>
      </c>
      <c r="C236" s="108">
        <v>44013</v>
      </c>
      <c r="D236" s="114">
        <v>7500</v>
      </c>
      <c r="E236" s="110">
        <v>44013</v>
      </c>
      <c r="F236" s="213" t="s">
        <v>219</v>
      </c>
      <c r="G236" s="110">
        <v>44076</v>
      </c>
      <c r="H236" s="106"/>
      <c r="J236" s="115" t="s">
        <v>717</v>
      </c>
      <c r="K236" s="528">
        <v>11500</v>
      </c>
      <c r="L236" s="96">
        <f>+K236/12</f>
        <v>958.33333333333337</v>
      </c>
      <c r="M236" s="528">
        <f>+K236-L236</f>
        <v>10541.666666666666</v>
      </c>
    </row>
    <row r="237" spans="1:14" x14ac:dyDescent="0.25">
      <c r="A237" s="107" t="s">
        <v>220</v>
      </c>
      <c r="B237" s="108">
        <v>44013</v>
      </c>
      <c r="C237" s="108">
        <v>44377</v>
      </c>
      <c r="D237" s="114">
        <v>7500</v>
      </c>
      <c r="E237" s="110">
        <v>44013</v>
      </c>
      <c r="F237" s="213" t="s">
        <v>187</v>
      </c>
      <c r="G237" s="110">
        <v>44022</v>
      </c>
      <c r="H237" s="106"/>
      <c r="J237" s="107" t="s">
        <v>1</v>
      </c>
      <c r="K237" s="98">
        <f>SUM(K226:K236)</f>
        <v>109000</v>
      </c>
      <c r="L237" s="98">
        <f>SUM(L226:L236)</f>
        <v>59791.666666666672</v>
      </c>
      <c r="M237" s="98">
        <f>SUM(M226:M236)</f>
        <v>49208.333333333328</v>
      </c>
    </row>
    <row r="238" spans="1:14" x14ac:dyDescent="0.25">
      <c r="A238" s="107" t="s">
        <v>221</v>
      </c>
      <c r="B238" s="108">
        <v>44044</v>
      </c>
      <c r="C238" s="108">
        <v>44408</v>
      </c>
      <c r="D238" s="114">
        <v>7500</v>
      </c>
      <c r="E238" s="110">
        <v>44044</v>
      </c>
      <c r="F238" s="213" t="s">
        <v>222</v>
      </c>
      <c r="G238" s="110">
        <v>44139</v>
      </c>
      <c r="H238" s="106"/>
    </row>
    <row r="239" spans="1:14" x14ac:dyDescent="0.25">
      <c r="A239" s="107" t="s">
        <v>154</v>
      </c>
      <c r="B239" s="108">
        <v>44044</v>
      </c>
      <c r="C239" s="170">
        <v>44408</v>
      </c>
      <c r="D239" s="109">
        <v>7500</v>
      </c>
      <c r="E239" s="110">
        <v>44044</v>
      </c>
      <c r="F239" s="213" t="s">
        <v>401</v>
      </c>
      <c r="G239" s="110">
        <v>44319</v>
      </c>
      <c r="H239" s="106" t="s">
        <v>451</v>
      </c>
      <c r="K239" s="163"/>
      <c r="L239" s="231"/>
    </row>
    <row r="240" spans="1:14" x14ac:dyDescent="0.25">
      <c r="A240" s="107" t="s">
        <v>228</v>
      </c>
      <c r="B240" s="108">
        <v>44075</v>
      </c>
      <c r="C240" s="170">
        <v>44439</v>
      </c>
      <c r="D240" s="109">
        <v>7500</v>
      </c>
      <c r="E240" s="110">
        <v>44075</v>
      </c>
      <c r="F240" s="213" t="s">
        <v>429</v>
      </c>
      <c r="G240" s="110">
        <v>44253</v>
      </c>
      <c r="H240" s="106" t="s">
        <v>452</v>
      </c>
      <c r="J240" s="99" t="s">
        <v>526</v>
      </c>
      <c r="N240" s="237" t="s">
        <v>211</v>
      </c>
    </row>
    <row r="241" spans="1:14" x14ac:dyDescent="0.25">
      <c r="A241" s="107" t="s">
        <v>152</v>
      </c>
      <c r="B241" s="108">
        <v>44075</v>
      </c>
      <c r="C241" s="108">
        <v>44439</v>
      </c>
      <c r="D241" s="114">
        <v>7500</v>
      </c>
      <c r="E241" s="110">
        <v>44075</v>
      </c>
      <c r="F241" s="213" t="s">
        <v>403</v>
      </c>
      <c r="G241" s="110">
        <v>44086</v>
      </c>
      <c r="H241" s="106"/>
      <c r="I241" s="236"/>
      <c r="J241" s="115" t="s">
        <v>486</v>
      </c>
      <c r="K241" s="106" t="s">
        <v>488</v>
      </c>
      <c r="L241" s="184">
        <v>7500</v>
      </c>
      <c r="M241" s="106" t="s">
        <v>548</v>
      </c>
    </row>
    <row r="242" spans="1:14" x14ac:dyDescent="0.25">
      <c r="A242" s="172" t="s">
        <v>162</v>
      </c>
      <c r="B242" s="170">
        <v>44075</v>
      </c>
      <c r="C242" s="170">
        <v>44439</v>
      </c>
      <c r="D242" s="109">
        <v>25000</v>
      </c>
      <c r="E242" s="110">
        <v>44085</v>
      </c>
      <c r="F242" s="213" t="s">
        <v>414</v>
      </c>
      <c r="G242" s="110">
        <v>44141</v>
      </c>
      <c r="H242" s="106"/>
      <c r="J242" s="115" t="s">
        <v>486</v>
      </c>
      <c r="K242" s="106" t="s">
        <v>433</v>
      </c>
      <c r="L242" s="184">
        <v>7500</v>
      </c>
      <c r="M242" s="106" t="s">
        <v>549</v>
      </c>
    </row>
    <row r="243" spans="1:14" x14ac:dyDescent="0.25">
      <c r="A243" s="107" t="s">
        <v>185</v>
      </c>
      <c r="B243" s="108">
        <v>44075</v>
      </c>
      <c r="C243" s="108">
        <v>44439</v>
      </c>
      <c r="D243" s="114">
        <v>7500</v>
      </c>
      <c r="E243" s="110">
        <v>44075</v>
      </c>
      <c r="F243" s="213" t="s">
        <v>430</v>
      </c>
      <c r="G243" s="110">
        <v>44216</v>
      </c>
      <c r="H243" s="106" t="s">
        <v>445</v>
      </c>
      <c r="J243" s="115" t="s">
        <v>486</v>
      </c>
      <c r="K243" s="106" t="s">
        <v>487</v>
      </c>
      <c r="L243" s="184">
        <v>7500</v>
      </c>
      <c r="M243" s="106" t="s">
        <v>550</v>
      </c>
      <c r="N243" s="237" t="s">
        <v>211</v>
      </c>
    </row>
    <row r="244" spans="1:14" x14ac:dyDescent="0.25">
      <c r="A244" s="172" t="s">
        <v>161</v>
      </c>
      <c r="B244" s="170">
        <v>44105</v>
      </c>
      <c r="C244" s="108">
        <v>44469</v>
      </c>
      <c r="D244" s="114">
        <v>7500</v>
      </c>
      <c r="E244" s="110">
        <v>44105</v>
      </c>
      <c r="F244" s="213" t="s">
        <v>431</v>
      </c>
      <c r="G244" s="110">
        <v>44221</v>
      </c>
      <c r="H244" s="106" t="s">
        <v>444</v>
      </c>
      <c r="J244" s="115" t="s">
        <v>486</v>
      </c>
      <c r="K244" s="106" t="s">
        <v>490</v>
      </c>
      <c r="L244" s="184">
        <v>7500</v>
      </c>
      <c r="M244" s="106" t="s">
        <v>551</v>
      </c>
      <c r="N244" s="237" t="s">
        <v>211</v>
      </c>
    </row>
    <row r="245" spans="1:14" x14ac:dyDescent="0.25">
      <c r="A245" s="107" t="s">
        <v>190</v>
      </c>
      <c r="B245" s="108">
        <v>44105</v>
      </c>
      <c r="C245" s="108">
        <v>44469</v>
      </c>
      <c r="D245" s="114">
        <v>11500</v>
      </c>
      <c r="E245" s="110">
        <v>44105</v>
      </c>
      <c r="F245" s="213" t="s">
        <v>443</v>
      </c>
      <c r="G245" s="110">
        <v>44196</v>
      </c>
      <c r="H245" s="106"/>
      <c r="J245" s="115" t="s">
        <v>486</v>
      </c>
      <c r="K245" s="106" t="s">
        <v>453</v>
      </c>
      <c r="L245" s="184">
        <v>7500</v>
      </c>
      <c r="M245" s="106" t="s">
        <v>552</v>
      </c>
      <c r="N245" s="237" t="s">
        <v>211</v>
      </c>
    </row>
    <row r="246" spans="1:14" x14ac:dyDescent="0.25">
      <c r="A246" s="107" t="s">
        <v>209</v>
      </c>
      <c r="B246" s="108">
        <v>44136</v>
      </c>
      <c r="C246" s="108">
        <v>44500</v>
      </c>
      <c r="D246" s="114">
        <v>7500</v>
      </c>
      <c r="E246" s="110">
        <v>44136</v>
      </c>
      <c r="F246" s="213" t="s">
        <v>462</v>
      </c>
      <c r="G246" s="213">
        <v>44179</v>
      </c>
      <c r="H246" s="106"/>
      <c r="J246" s="115" t="s">
        <v>524</v>
      </c>
      <c r="K246" s="106" t="s">
        <v>485</v>
      </c>
      <c r="L246" s="184">
        <v>7500</v>
      </c>
      <c r="M246" s="106" t="s">
        <v>583</v>
      </c>
      <c r="N246" s="238"/>
    </row>
    <row r="247" spans="1:14" x14ac:dyDescent="0.25">
      <c r="A247" s="131" t="s">
        <v>171</v>
      </c>
      <c r="B247" s="108">
        <v>44136</v>
      </c>
      <c r="C247" s="108">
        <v>44500</v>
      </c>
      <c r="D247" s="114">
        <v>7500</v>
      </c>
      <c r="E247" s="110">
        <v>44136</v>
      </c>
      <c r="F247" s="213" t="s">
        <v>425</v>
      </c>
      <c r="G247" s="110">
        <v>44172</v>
      </c>
      <c r="H247" s="106"/>
      <c r="J247" s="115" t="s">
        <v>524</v>
      </c>
      <c r="K247" s="106" t="s">
        <v>236</v>
      </c>
      <c r="L247" s="184">
        <v>7500</v>
      </c>
      <c r="M247" s="106" t="s">
        <v>584</v>
      </c>
    </row>
    <row r="248" spans="1:14" x14ac:dyDescent="0.25">
      <c r="A248" s="131" t="s">
        <v>454</v>
      </c>
      <c r="B248" s="108">
        <v>44166</v>
      </c>
      <c r="C248" s="108">
        <v>44530</v>
      </c>
      <c r="D248" s="114">
        <v>7500</v>
      </c>
      <c r="E248" s="110">
        <v>44172</v>
      </c>
      <c r="F248" s="213" t="s">
        <v>479</v>
      </c>
      <c r="G248" s="110">
        <v>44306</v>
      </c>
      <c r="H248" s="106"/>
      <c r="J248" s="115" t="s">
        <v>579</v>
      </c>
      <c r="K248" s="106" t="s">
        <v>489</v>
      </c>
      <c r="L248" s="184">
        <v>7500</v>
      </c>
      <c r="M248" s="106" t="s">
        <v>591</v>
      </c>
    </row>
    <row r="249" spans="1:14" x14ac:dyDescent="0.25">
      <c r="A249" s="131" t="s">
        <v>472</v>
      </c>
      <c r="B249" s="108">
        <v>44166</v>
      </c>
      <c r="C249" s="108">
        <v>44531</v>
      </c>
      <c r="D249" s="114">
        <v>7500</v>
      </c>
      <c r="E249" s="110">
        <v>44174</v>
      </c>
      <c r="F249" s="213" t="s">
        <v>484</v>
      </c>
      <c r="G249" s="110">
        <v>44186</v>
      </c>
      <c r="H249" s="106"/>
      <c r="J249" s="115" t="s">
        <v>579</v>
      </c>
      <c r="K249" s="106" t="s">
        <v>257</v>
      </c>
      <c r="L249" s="184">
        <v>7500</v>
      </c>
      <c r="M249" s="106" t="s">
        <v>658</v>
      </c>
    </row>
    <row r="250" spans="1:14" x14ac:dyDescent="0.25">
      <c r="J250" s="115" t="s">
        <v>621</v>
      </c>
      <c r="K250" s="106" t="s">
        <v>233</v>
      </c>
      <c r="L250" s="184">
        <v>7500</v>
      </c>
      <c r="M250" s="106" t="s">
        <v>636</v>
      </c>
    </row>
    <row r="251" spans="1:14" x14ac:dyDescent="0.25">
      <c r="J251" s="115" t="s">
        <v>581</v>
      </c>
      <c r="K251" s="106" t="s">
        <v>582</v>
      </c>
      <c r="L251" s="184">
        <v>7500</v>
      </c>
      <c r="M251" s="106" t="s">
        <v>637</v>
      </c>
    </row>
    <row r="252" spans="1:14" x14ac:dyDescent="0.25">
      <c r="J252" s="115" t="s">
        <v>581</v>
      </c>
      <c r="K252" s="106" t="s">
        <v>624</v>
      </c>
      <c r="L252" s="184">
        <v>7500</v>
      </c>
      <c r="M252" s="106" t="s">
        <v>694</v>
      </c>
    </row>
    <row r="253" spans="1:14" x14ac:dyDescent="0.25">
      <c r="J253" s="115" t="s">
        <v>581</v>
      </c>
      <c r="K253" s="106" t="s">
        <v>598</v>
      </c>
      <c r="L253" s="184">
        <v>7500</v>
      </c>
      <c r="M253" s="106" t="s">
        <v>694</v>
      </c>
    </row>
    <row r="254" spans="1:14" x14ac:dyDescent="0.25">
      <c r="J254" s="115" t="s">
        <v>718</v>
      </c>
      <c r="K254" s="106" t="s">
        <v>405</v>
      </c>
      <c r="L254" s="184">
        <v>7500</v>
      </c>
      <c r="M254" s="106" t="s">
        <v>739</v>
      </c>
    </row>
    <row r="255" spans="1:14" x14ac:dyDescent="0.25">
      <c r="J255" s="115" t="s">
        <v>718</v>
      </c>
      <c r="K255" s="106" t="s">
        <v>730</v>
      </c>
      <c r="L255" s="184">
        <v>10000</v>
      </c>
      <c r="M255" s="106" t="s">
        <v>740</v>
      </c>
    </row>
    <row r="256" spans="1:14" x14ac:dyDescent="0.25">
      <c r="J256" s="115" t="s">
        <v>718</v>
      </c>
      <c r="K256" s="106" t="s">
        <v>597</v>
      </c>
      <c r="L256" s="184">
        <v>7500</v>
      </c>
      <c r="M256" s="106" t="s">
        <v>741</v>
      </c>
    </row>
    <row r="257" spans="10:14" x14ac:dyDescent="0.25">
      <c r="J257" s="115" t="s">
        <v>755</v>
      </c>
      <c r="K257" s="106" t="s">
        <v>634</v>
      </c>
      <c r="L257" s="184">
        <v>7500</v>
      </c>
      <c r="M257" s="106" t="s">
        <v>756</v>
      </c>
    </row>
    <row r="258" spans="10:14" x14ac:dyDescent="0.25">
      <c r="J258" s="115" t="s">
        <v>755</v>
      </c>
      <c r="K258" s="106" t="s">
        <v>732</v>
      </c>
      <c r="L258" s="184">
        <v>7500</v>
      </c>
      <c r="M258" s="148" t="s">
        <v>791</v>
      </c>
    </row>
    <row r="259" spans="10:14" x14ac:dyDescent="0.25">
      <c r="J259" s="163"/>
      <c r="K259" s="163"/>
      <c r="L259" s="231"/>
    </row>
    <row r="260" spans="10:14" x14ac:dyDescent="0.25">
      <c r="J260" s="163"/>
      <c r="K260" s="163"/>
      <c r="L260" s="231"/>
    </row>
    <row r="261" spans="10:14" x14ac:dyDescent="0.25">
      <c r="J261" s="37" t="s">
        <v>203</v>
      </c>
      <c r="K261" s="37" t="s">
        <v>204</v>
      </c>
      <c r="L261" s="37" t="s">
        <v>205</v>
      </c>
      <c r="M261" s="37" t="s">
        <v>206</v>
      </c>
    </row>
    <row r="262" spans="10:14" x14ac:dyDescent="0.25">
      <c r="J262" s="176" t="s">
        <v>207</v>
      </c>
      <c r="K262" s="233">
        <v>5500</v>
      </c>
      <c r="L262" s="239">
        <f>(K262/12)*7</f>
        <v>3208.333333333333</v>
      </c>
      <c r="M262" s="234"/>
    </row>
    <row r="263" spans="10:14" x14ac:dyDescent="0.25">
      <c r="J263" s="176" t="s">
        <v>208</v>
      </c>
      <c r="K263" s="233">
        <v>7500</v>
      </c>
      <c r="L263" s="239">
        <v>7500</v>
      </c>
      <c r="M263" s="239"/>
    </row>
    <row r="264" spans="10:14" x14ac:dyDescent="0.25">
      <c r="J264" s="176" t="s">
        <v>210</v>
      </c>
      <c r="K264" s="233">
        <v>7500</v>
      </c>
      <c r="L264" s="239">
        <v>7500</v>
      </c>
      <c r="M264" s="239"/>
    </row>
    <row r="265" spans="10:14" x14ac:dyDescent="0.25">
      <c r="J265" s="240" t="s">
        <v>450</v>
      </c>
      <c r="K265" s="233">
        <v>7500</v>
      </c>
      <c r="L265" s="234">
        <f>K265*10/12</f>
        <v>6250</v>
      </c>
      <c r="M265" s="234">
        <f t="shared" ref="M265:M270" si="10">K265-L265</f>
        <v>1250</v>
      </c>
    </row>
    <row r="266" spans="10:14" x14ac:dyDescent="0.25">
      <c r="J266" s="176" t="s">
        <v>164</v>
      </c>
      <c r="K266" s="233">
        <v>7500</v>
      </c>
      <c r="L266" s="234">
        <f>K266*10/12</f>
        <v>6250</v>
      </c>
      <c r="M266" s="234">
        <f t="shared" si="10"/>
        <v>1250</v>
      </c>
    </row>
    <row r="267" spans="10:14" x14ac:dyDescent="0.25">
      <c r="J267" s="176" t="s">
        <v>176</v>
      </c>
      <c r="K267" s="233">
        <v>10000</v>
      </c>
      <c r="L267" s="234">
        <f>K267*10/12</f>
        <v>8333.3333333333339</v>
      </c>
      <c r="M267" s="234">
        <f t="shared" si="10"/>
        <v>1666.6666666666661</v>
      </c>
      <c r="N267" s="241"/>
    </row>
    <row r="268" spans="10:14" x14ac:dyDescent="0.25">
      <c r="J268" s="240" t="s">
        <v>195</v>
      </c>
      <c r="K268" s="233">
        <v>10000</v>
      </c>
      <c r="L268" s="234">
        <f>K268*10/12</f>
        <v>8333.3333333333339</v>
      </c>
      <c r="M268" s="234">
        <f t="shared" si="10"/>
        <v>1666.6666666666661</v>
      </c>
    </row>
    <row r="269" spans="10:14" x14ac:dyDescent="0.25">
      <c r="J269" s="240" t="s">
        <v>428</v>
      </c>
      <c r="K269" s="233">
        <v>7500</v>
      </c>
      <c r="L269" s="234">
        <f>K269*5/12</f>
        <v>3125</v>
      </c>
      <c r="M269" s="234">
        <f t="shared" si="10"/>
        <v>4375</v>
      </c>
    </row>
    <row r="270" spans="10:14" x14ac:dyDescent="0.25">
      <c r="J270" s="240" t="s">
        <v>194</v>
      </c>
      <c r="K270" s="233">
        <v>7500</v>
      </c>
      <c r="L270" s="234">
        <f>7500*4/12</f>
        <v>2500</v>
      </c>
      <c r="M270" s="234">
        <f t="shared" si="10"/>
        <v>5000</v>
      </c>
    </row>
    <row r="271" spans="10:14" x14ac:dyDescent="0.25">
      <c r="J271" s="107" t="s">
        <v>1</v>
      </c>
      <c r="K271" s="235">
        <f>SUM(K262:K270)</f>
        <v>70500</v>
      </c>
      <c r="L271" s="235">
        <f>SUM(L262:L270)</f>
        <v>53000</v>
      </c>
      <c r="M271" s="235">
        <f>SUM(M262:M270)</f>
        <v>15208.333333333332</v>
      </c>
    </row>
    <row r="273" spans="10:13" x14ac:dyDescent="0.25">
      <c r="J273" s="100" t="s">
        <v>212</v>
      </c>
      <c r="K273" s="100" t="s">
        <v>204</v>
      </c>
      <c r="L273" s="100" t="s">
        <v>213</v>
      </c>
      <c r="M273" s="100" t="s">
        <v>214</v>
      </c>
    </row>
    <row r="274" spans="10:13" x14ac:dyDescent="0.25">
      <c r="J274" s="106" t="s">
        <v>160</v>
      </c>
      <c r="K274" s="61">
        <v>7500</v>
      </c>
      <c r="L274" s="62">
        <v>7500</v>
      </c>
      <c r="M274" s="62"/>
    </row>
    <row r="275" spans="10:13" x14ac:dyDescent="0.25">
      <c r="J275" s="106" t="s">
        <v>216</v>
      </c>
      <c r="K275" s="61">
        <v>7500</v>
      </c>
      <c r="L275" s="63">
        <v>5625</v>
      </c>
      <c r="M275" s="63">
        <v>1875</v>
      </c>
    </row>
    <row r="276" spans="10:13" x14ac:dyDescent="0.25">
      <c r="J276" s="106" t="s">
        <v>186</v>
      </c>
      <c r="K276" s="61">
        <v>7500</v>
      </c>
      <c r="L276" s="63">
        <f>K276/2</f>
        <v>3750</v>
      </c>
      <c r="M276" s="63">
        <f>K276/2</f>
        <v>3750</v>
      </c>
    </row>
    <row r="277" spans="10:13" x14ac:dyDescent="0.25">
      <c r="J277" s="106" t="s">
        <v>472</v>
      </c>
      <c r="K277" s="61">
        <v>7500</v>
      </c>
      <c r="L277" s="63">
        <f>K277/12</f>
        <v>625</v>
      </c>
      <c r="M277" s="63">
        <f>K277-L277</f>
        <v>6875</v>
      </c>
    </row>
    <row r="278" spans="10:13" x14ac:dyDescent="0.25">
      <c r="J278" s="106" t="s">
        <v>454</v>
      </c>
      <c r="K278" s="61">
        <v>7500</v>
      </c>
      <c r="L278" s="63">
        <f>K278/12</f>
        <v>625</v>
      </c>
      <c r="M278" s="63">
        <f>K278-L278</f>
        <v>6875</v>
      </c>
    </row>
    <row r="279" spans="10:13" x14ac:dyDescent="0.25">
      <c r="J279" s="107" t="s">
        <v>1</v>
      </c>
      <c r="K279" s="235">
        <f>SUM(K274:K276)</f>
        <v>22500</v>
      </c>
      <c r="L279" s="235">
        <f>SUM(L274:L278)</f>
        <v>18125</v>
      </c>
      <c r="M279" s="235">
        <f>SUM(M274:M278)</f>
        <v>19375</v>
      </c>
    </row>
    <row r="280" spans="10:13" x14ac:dyDescent="0.25">
      <c r="K280" s="230"/>
      <c r="L280" s="230"/>
      <c r="M280" s="230"/>
    </row>
    <row r="281" spans="10:13" x14ac:dyDescent="0.25">
      <c r="J281" s="99" t="s">
        <v>241</v>
      </c>
      <c r="K281" s="163"/>
      <c r="L281" s="231"/>
    </row>
    <row r="282" spans="10:13" x14ac:dyDescent="0.25">
      <c r="J282" s="115" t="s">
        <v>244</v>
      </c>
      <c r="K282" s="106" t="s">
        <v>245</v>
      </c>
      <c r="L282" s="184">
        <v>7500</v>
      </c>
      <c r="M282" s="106" t="s">
        <v>246</v>
      </c>
    </row>
    <row r="283" spans="10:13" x14ac:dyDescent="0.25">
      <c r="J283" s="115" t="s">
        <v>244</v>
      </c>
      <c r="K283" s="106" t="s">
        <v>248</v>
      </c>
      <c r="L283" s="184">
        <v>7500</v>
      </c>
      <c r="M283" s="106" t="s">
        <v>246</v>
      </c>
    </row>
    <row r="284" spans="10:13" x14ac:dyDescent="0.25">
      <c r="J284" s="115" t="s">
        <v>244</v>
      </c>
      <c r="K284" s="106" t="s">
        <v>250</v>
      </c>
      <c r="L284" s="184">
        <v>7500</v>
      </c>
      <c r="M284" s="106" t="s">
        <v>246</v>
      </c>
    </row>
    <row r="285" spans="10:13" x14ac:dyDescent="0.25">
      <c r="J285" s="115" t="s">
        <v>244</v>
      </c>
      <c r="K285" s="106" t="s">
        <v>252</v>
      </c>
      <c r="L285" s="184">
        <v>7500</v>
      </c>
      <c r="M285" s="106" t="s">
        <v>246</v>
      </c>
    </row>
    <row r="286" spans="10:13" x14ac:dyDescent="0.25">
      <c r="J286" s="115" t="s">
        <v>244</v>
      </c>
      <c r="K286" s="106" t="s">
        <v>253</v>
      </c>
      <c r="L286" s="184">
        <v>7500</v>
      </c>
      <c r="M286" s="106" t="s">
        <v>246</v>
      </c>
    </row>
    <row r="287" spans="10:13" x14ac:dyDescent="0.25">
      <c r="J287" s="115" t="s">
        <v>244</v>
      </c>
      <c r="K287" s="106" t="s">
        <v>254</v>
      </c>
      <c r="L287" s="184">
        <v>7500</v>
      </c>
      <c r="M287" s="106" t="s">
        <v>246</v>
      </c>
    </row>
    <row r="288" spans="10:13" x14ac:dyDescent="0.25">
      <c r="J288" s="115" t="s">
        <v>256</v>
      </c>
      <c r="K288" s="106" t="s">
        <v>257</v>
      </c>
      <c r="L288" s="184">
        <v>7500</v>
      </c>
      <c r="M288" s="106" t="s">
        <v>246</v>
      </c>
    </row>
    <row r="289" spans="10:13" x14ac:dyDescent="0.25">
      <c r="J289" s="115" t="s">
        <v>0</v>
      </c>
      <c r="K289" s="106" t="s">
        <v>260</v>
      </c>
      <c r="L289" s="184">
        <v>7500</v>
      </c>
      <c r="M289" s="106" t="s">
        <v>246</v>
      </c>
    </row>
    <row r="290" spans="10:13" x14ac:dyDescent="0.25">
      <c r="J290" s="115" t="s">
        <v>262</v>
      </c>
      <c r="K290" s="106" t="s">
        <v>263</v>
      </c>
      <c r="L290" s="184">
        <v>7500</v>
      </c>
      <c r="M290" s="106" t="s">
        <v>406</v>
      </c>
    </row>
    <row r="291" spans="10:13" x14ac:dyDescent="0.25">
      <c r="J291" s="115" t="s">
        <v>265</v>
      </c>
      <c r="K291" s="106" t="s">
        <v>266</v>
      </c>
      <c r="L291" s="184">
        <v>7500</v>
      </c>
      <c r="M291" s="106"/>
    </row>
    <row r="292" spans="10:13" x14ac:dyDescent="0.25">
      <c r="J292" s="115" t="s">
        <v>265</v>
      </c>
      <c r="K292" s="106" t="s">
        <v>268</v>
      </c>
      <c r="L292" s="184">
        <v>7500</v>
      </c>
      <c r="M292" s="106" t="s">
        <v>269</v>
      </c>
    </row>
    <row r="293" spans="10:13" x14ac:dyDescent="0.25">
      <c r="J293" s="115" t="s">
        <v>265</v>
      </c>
      <c r="K293" s="106" t="s">
        <v>272</v>
      </c>
      <c r="L293" s="184">
        <v>10000</v>
      </c>
      <c r="M293" s="106" t="s">
        <v>273</v>
      </c>
    </row>
    <row r="294" spans="10:13" x14ac:dyDescent="0.25">
      <c r="J294" s="115" t="s">
        <v>225</v>
      </c>
      <c r="K294" s="106" t="s">
        <v>226</v>
      </c>
      <c r="L294" s="184">
        <v>7500</v>
      </c>
      <c r="M294" s="106"/>
    </row>
    <row r="295" spans="10:13" x14ac:dyDescent="0.25">
      <c r="J295" s="115" t="s">
        <v>229</v>
      </c>
      <c r="K295" s="106" t="s">
        <v>231</v>
      </c>
      <c r="L295" s="184">
        <v>7500</v>
      </c>
      <c r="M295" s="106" t="s">
        <v>407</v>
      </c>
    </row>
    <row r="296" spans="10:13" x14ac:dyDescent="0.25">
      <c r="J296" s="115" t="s">
        <v>232</v>
      </c>
      <c r="K296" s="106" t="s">
        <v>233</v>
      </c>
      <c r="L296" s="184">
        <v>7500</v>
      </c>
      <c r="M296" s="106"/>
    </row>
    <row r="297" spans="10:13" x14ac:dyDescent="0.25">
      <c r="J297" s="115" t="s">
        <v>232</v>
      </c>
      <c r="K297" s="145" t="s">
        <v>234</v>
      </c>
      <c r="L297" s="184">
        <v>7500</v>
      </c>
      <c r="M297" s="106"/>
    </row>
    <row r="298" spans="10:13" x14ac:dyDescent="0.25">
      <c r="J298" s="115" t="s">
        <v>232</v>
      </c>
      <c r="K298" s="106" t="s">
        <v>235</v>
      </c>
      <c r="L298" s="184">
        <v>7500</v>
      </c>
      <c r="M298" s="106" t="s">
        <v>416</v>
      </c>
    </row>
    <row r="299" spans="10:13" x14ac:dyDescent="0.25">
      <c r="J299" s="115" t="s">
        <v>232</v>
      </c>
      <c r="K299" s="106" t="s">
        <v>237</v>
      </c>
      <c r="L299" s="184">
        <v>7500</v>
      </c>
      <c r="M299" s="106"/>
    </row>
    <row r="300" spans="10:13" x14ac:dyDescent="0.25">
      <c r="J300" s="115" t="s">
        <v>229</v>
      </c>
      <c r="K300" s="106" t="s">
        <v>230</v>
      </c>
      <c r="L300" s="184">
        <v>7500</v>
      </c>
      <c r="M300" s="106"/>
    </row>
    <row r="301" spans="10:13" x14ac:dyDescent="0.25">
      <c r="J301" s="115" t="s">
        <v>232</v>
      </c>
      <c r="K301" s="106" t="s">
        <v>227</v>
      </c>
      <c r="L301" s="184">
        <v>7500</v>
      </c>
      <c r="M301" s="106"/>
    </row>
    <row r="302" spans="10:13" x14ac:dyDescent="0.25">
      <c r="J302" s="115" t="s">
        <v>229</v>
      </c>
      <c r="K302" s="106" t="s">
        <v>404</v>
      </c>
      <c r="L302" s="184">
        <v>7500</v>
      </c>
      <c r="M302" s="106"/>
    </row>
    <row r="303" spans="10:13" x14ac:dyDescent="0.25">
      <c r="J303" s="115" t="s">
        <v>424</v>
      </c>
      <c r="K303" s="106" t="s">
        <v>405</v>
      </c>
      <c r="L303" s="184">
        <v>7500</v>
      </c>
      <c r="M303" s="106" t="s">
        <v>474</v>
      </c>
    </row>
    <row r="304" spans="10:13" x14ac:dyDescent="0.25">
      <c r="J304" s="115" t="s">
        <v>424</v>
      </c>
      <c r="K304" s="106" t="s">
        <v>432</v>
      </c>
      <c r="L304" s="184">
        <v>7500</v>
      </c>
      <c r="M304" s="106" t="s">
        <v>461</v>
      </c>
    </row>
    <row r="306" spans="10:13" x14ac:dyDescent="0.25">
      <c r="J306" s="100" t="s">
        <v>274</v>
      </c>
      <c r="K306" s="100" t="s">
        <v>204</v>
      </c>
      <c r="L306" s="100" t="s">
        <v>275</v>
      </c>
      <c r="M306" s="100" t="s">
        <v>213</v>
      </c>
    </row>
    <row r="307" spans="10:13" x14ac:dyDescent="0.25">
      <c r="J307" s="106" t="s">
        <v>188</v>
      </c>
      <c r="K307" s="242">
        <v>15000</v>
      </c>
      <c r="L307" s="242">
        <v>8750</v>
      </c>
      <c r="M307" s="242">
        <v>6250</v>
      </c>
    </row>
    <row r="308" spans="10:13" x14ac:dyDescent="0.25">
      <c r="J308" s="106" t="s">
        <v>276</v>
      </c>
      <c r="K308" s="242">
        <v>7500</v>
      </c>
      <c r="L308" s="242">
        <v>6875</v>
      </c>
      <c r="M308" s="242">
        <v>625</v>
      </c>
    </row>
    <row r="309" spans="10:13" x14ac:dyDescent="0.25">
      <c r="J309" s="106" t="s">
        <v>277</v>
      </c>
      <c r="K309" s="242">
        <v>10000</v>
      </c>
      <c r="L309" s="242">
        <v>7500</v>
      </c>
      <c r="M309" s="242">
        <v>2500</v>
      </c>
    </row>
    <row r="310" spans="10:13" x14ac:dyDescent="0.25">
      <c r="J310" s="106" t="s">
        <v>164</v>
      </c>
      <c r="K310" s="242">
        <v>7500</v>
      </c>
      <c r="L310" s="242">
        <v>6250</v>
      </c>
      <c r="M310" s="242">
        <v>1250</v>
      </c>
    </row>
    <row r="311" spans="10:13" x14ac:dyDescent="0.25">
      <c r="J311" s="131" t="s">
        <v>278</v>
      </c>
      <c r="K311" s="178">
        <v>40000</v>
      </c>
      <c r="L311" s="178">
        <v>29375</v>
      </c>
      <c r="M311" s="178">
        <v>10625</v>
      </c>
    </row>
    <row r="312" spans="10:13" x14ac:dyDescent="0.25">
      <c r="J312" s="190"/>
      <c r="K312" s="243"/>
      <c r="L312" s="243"/>
      <c r="M312" s="243"/>
    </row>
    <row r="313" spans="10:13" x14ac:dyDescent="0.25">
      <c r="J313" s="244" t="s">
        <v>279</v>
      </c>
    </row>
    <row r="314" spans="10:13" x14ac:dyDescent="0.25">
      <c r="J314" s="101" t="s">
        <v>280</v>
      </c>
    </row>
    <row r="315" spans="10:13" x14ac:dyDescent="0.25">
      <c r="J315" s="101" t="s">
        <v>281</v>
      </c>
    </row>
    <row r="316" spans="10:13" x14ac:dyDescent="0.25">
      <c r="J316" s="101" t="s">
        <v>282</v>
      </c>
    </row>
    <row r="317" spans="10:13" x14ac:dyDescent="0.25">
      <c r="J317" s="101" t="s">
        <v>283</v>
      </c>
    </row>
    <row r="318" spans="10:13" x14ac:dyDescent="0.25">
      <c r="J318" s="245" t="s">
        <v>284</v>
      </c>
    </row>
    <row r="319" spans="10:13" x14ac:dyDescent="0.25">
      <c r="J319" s="101" t="s">
        <v>285</v>
      </c>
    </row>
    <row r="320" spans="10:13" x14ac:dyDescent="0.25">
      <c r="J320" s="101" t="s">
        <v>286</v>
      </c>
    </row>
    <row r="321" spans="10:13" x14ac:dyDescent="0.25">
      <c r="J321" s="101" t="s">
        <v>287</v>
      </c>
    </row>
    <row r="322" spans="10:13" x14ac:dyDescent="0.25">
      <c r="J322" s="101" t="s">
        <v>288</v>
      </c>
    </row>
    <row r="323" spans="10:13" x14ac:dyDescent="0.25">
      <c r="J323" s="101" t="s">
        <v>289</v>
      </c>
    </row>
    <row r="324" spans="10:13" x14ac:dyDescent="0.25">
      <c r="J324" s="101" t="s">
        <v>235</v>
      </c>
    </row>
    <row r="325" spans="10:13" x14ac:dyDescent="0.25">
      <c r="J325" s="115" t="s">
        <v>290</v>
      </c>
      <c r="K325" s="106" t="s">
        <v>291</v>
      </c>
      <c r="L325" s="184">
        <v>7500</v>
      </c>
      <c r="M325" s="106" t="s">
        <v>246</v>
      </c>
    </row>
  </sheetData>
  <mergeCells count="2">
    <mergeCell ref="J3:M3"/>
    <mergeCell ref="J66:M66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459D-F31F-4B47-AD0F-5B3327D5D86D}">
  <dimension ref="A1:P553"/>
  <sheetViews>
    <sheetView zoomScale="110" zoomScaleNormal="110" zoomScaleSheetLayoutView="50" workbookViewId="0">
      <pane ySplit="1" topLeftCell="A177" activePane="bottomLeft" state="frozen"/>
      <selection activeCell="Z49" sqref="Z49"/>
      <selection pane="bottomLeft" activeCell="E251" sqref="E251"/>
    </sheetView>
  </sheetViews>
  <sheetFormatPr defaultColWidth="9.140625" defaultRowHeight="15" outlineLevelRow="1" x14ac:dyDescent="0.25"/>
  <cols>
    <col min="1" max="1" width="68.140625" style="101" bestFit="1" customWidth="1"/>
    <col min="2" max="2" width="26.28515625" style="101" bestFit="1" customWidth="1"/>
    <col min="3" max="3" width="86.7109375" style="101" customWidth="1"/>
    <col min="4" max="4" width="16.7109375" style="101" bestFit="1" customWidth="1"/>
    <col min="5" max="5" width="30.42578125" style="101" bestFit="1" customWidth="1"/>
    <col min="6" max="6" width="18" style="195" bestFit="1" customWidth="1"/>
    <col min="7" max="7" width="19.42578125" style="195" customWidth="1"/>
    <col min="8" max="8" width="55.42578125" style="101" customWidth="1"/>
    <col min="9" max="9" width="17.28515625" style="101" customWidth="1"/>
    <col min="10" max="11" width="10" style="101" bestFit="1" customWidth="1"/>
    <col min="12" max="16384" width="9.140625" style="101"/>
  </cols>
  <sheetData>
    <row r="1" spans="1:8" s="250" customFormat="1" ht="31.5" hidden="1" x14ac:dyDescent="0.25">
      <c r="A1" s="246" t="s">
        <v>764</v>
      </c>
      <c r="B1" s="246" t="s">
        <v>292</v>
      </c>
      <c r="C1" s="246" t="s">
        <v>293</v>
      </c>
      <c r="D1" s="247" t="s">
        <v>294</v>
      </c>
      <c r="E1" s="248" t="s">
        <v>148</v>
      </c>
      <c r="F1" s="248" t="s">
        <v>201</v>
      </c>
      <c r="G1" s="246" t="s">
        <v>295</v>
      </c>
      <c r="H1" s="249" t="s">
        <v>296</v>
      </c>
    </row>
    <row r="2" spans="1:8" s="250" customFormat="1" hidden="1" outlineLevel="1" x14ac:dyDescent="0.25">
      <c r="A2" s="251" t="s">
        <v>297</v>
      </c>
      <c r="B2" s="252">
        <v>43858</v>
      </c>
      <c r="C2" s="251" t="s">
        <v>298</v>
      </c>
      <c r="D2" s="253"/>
      <c r="E2" s="254"/>
      <c r="F2" s="254"/>
      <c r="G2" s="255"/>
      <c r="H2" s="255" t="s">
        <v>299</v>
      </c>
    </row>
    <row r="3" spans="1:8" s="250" customFormat="1" hidden="1" outlineLevel="1" x14ac:dyDescent="0.25">
      <c r="A3" s="251" t="s">
        <v>300</v>
      </c>
      <c r="B3" s="252">
        <v>43888</v>
      </c>
      <c r="C3" s="251" t="s">
        <v>301</v>
      </c>
      <c r="D3" s="253">
        <v>7000</v>
      </c>
      <c r="E3" s="254" t="s">
        <v>217</v>
      </c>
      <c r="F3" s="254" t="s">
        <v>217</v>
      </c>
      <c r="G3" s="255" t="s">
        <v>302</v>
      </c>
      <c r="H3" s="256" t="s">
        <v>303</v>
      </c>
    </row>
    <row r="4" spans="1:8" s="250" customFormat="1" hidden="1" outlineLevel="1" x14ac:dyDescent="0.25">
      <c r="A4" s="251" t="s">
        <v>304</v>
      </c>
      <c r="B4" s="252">
        <v>43893</v>
      </c>
      <c r="C4" s="251" t="s">
        <v>190</v>
      </c>
      <c r="D4" s="253">
        <v>2500</v>
      </c>
      <c r="E4" s="254" t="s">
        <v>217</v>
      </c>
      <c r="F4" s="254" t="s">
        <v>217</v>
      </c>
      <c r="G4" s="255"/>
    </row>
    <row r="5" spans="1:8" s="250" customFormat="1" hidden="1" outlineLevel="1" x14ac:dyDescent="0.25">
      <c r="A5" s="251" t="s">
        <v>305</v>
      </c>
      <c r="B5" s="252">
        <v>43895</v>
      </c>
      <c r="C5" s="251" t="s">
        <v>190</v>
      </c>
      <c r="D5" s="253">
        <v>4500</v>
      </c>
      <c r="E5" s="254" t="s">
        <v>217</v>
      </c>
      <c r="F5" s="254" t="s">
        <v>217</v>
      </c>
      <c r="G5" s="255"/>
    </row>
    <row r="6" spans="1:8" s="250" customFormat="1" hidden="1" outlineLevel="1" x14ac:dyDescent="0.25">
      <c r="A6" s="251" t="s">
        <v>306</v>
      </c>
      <c r="B6" s="252">
        <v>43900</v>
      </c>
      <c r="C6" s="251" t="s">
        <v>151</v>
      </c>
      <c r="D6" s="253">
        <v>0</v>
      </c>
      <c r="E6" s="254" t="s">
        <v>217</v>
      </c>
      <c r="F6" s="254" t="s">
        <v>217</v>
      </c>
      <c r="G6" s="255"/>
    </row>
    <row r="7" spans="1:8" s="250" customFormat="1" hidden="1" outlineLevel="1" x14ac:dyDescent="0.25">
      <c r="A7" s="251" t="s">
        <v>308</v>
      </c>
      <c r="B7" s="252">
        <v>43979</v>
      </c>
      <c r="C7" s="251" t="s">
        <v>181</v>
      </c>
      <c r="D7" s="253">
        <v>3500</v>
      </c>
      <c r="E7" s="254" t="s">
        <v>217</v>
      </c>
      <c r="F7" s="254" t="s">
        <v>217</v>
      </c>
      <c r="G7" s="255" t="s">
        <v>309</v>
      </c>
    </row>
    <row r="8" spans="1:8" s="250" customFormat="1" hidden="1" outlineLevel="1" x14ac:dyDescent="0.25">
      <c r="A8" s="251" t="s">
        <v>310</v>
      </c>
      <c r="B8" s="252">
        <v>43984</v>
      </c>
      <c r="C8" s="251" t="s">
        <v>164</v>
      </c>
      <c r="D8" s="253">
        <v>0</v>
      </c>
      <c r="E8" s="254" t="s">
        <v>217</v>
      </c>
      <c r="F8" s="254" t="s">
        <v>217</v>
      </c>
      <c r="G8" s="255" t="s">
        <v>309</v>
      </c>
    </row>
    <row r="9" spans="1:8" s="250" customFormat="1" hidden="1" outlineLevel="1" x14ac:dyDescent="0.25">
      <c r="A9" s="251" t="s">
        <v>311</v>
      </c>
      <c r="B9" s="252">
        <v>43986</v>
      </c>
      <c r="C9" s="251" t="s">
        <v>312</v>
      </c>
      <c r="D9" s="253">
        <v>0</v>
      </c>
      <c r="E9" s="254" t="s">
        <v>217</v>
      </c>
      <c r="F9" s="254" t="s">
        <v>217</v>
      </c>
      <c r="G9" s="255" t="s">
        <v>309</v>
      </c>
    </row>
    <row r="10" spans="1:8" s="250" customFormat="1" hidden="1" outlineLevel="1" x14ac:dyDescent="0.25">
      <c r="A10" s="251" t="s">
        <v>313</v>
      </c>
      <c r="B10" s="252">
        <v>43998</v>
      </c>
      <c r="C10" s="251" t="s">
        <v>178</v>
      </c>
      <c r="D10" s="253"/>
      <c r="E10" s="254" t="s">
        <v>217</v>
      </c>
      <c r="F10" s="254" t="s">
        <v>217</v>
      </c>
      <c r="G10" s="255" t="s">
        <v>491</v>
      </c>
    </row>
    <row r="11" spans="1:8" s="250" customFormat="1" hidden="1" outlineLevel="1" x14ac:dyDescent="0.25">
      <c r="A11" s="251" t="s">
        <v>314</v>
      </c>
      <c r="B11" s="252">
        <v>44007</v>
      </c>
      <c r="C11" s="251" t="s">
        <v>179</v>
      </c>
      <c r="D11" s="253">
        <v>25000</v>
      </c>
      <c r="E11" s="254" t="s">
        <v>217</v>
      </c>
      <c r="F11" s="254" t="s">
        <v>217</v>
      </c>
      <c r="G11" s="255" t="s">
        <v>309</v>
      </c>
    </row>
    <row r="12" spans="1:8" s="250" customFormat="1" hidden="1" outlineLevel="1" x14ac:dyDescent="0.25">
      <c r="A12" s="251" t="s">
        <v>315</v>
      </c>
      <c r="B12" s="252">
        <v>44012</v>
      </c>
      <c r="C12" s="251" t="s">
        <v>316</v>
      </c>
      <c r="D12" s="253">
        <v>0</v>
      </c>
      <c r="E12" s="254" t="s">
        <v>215</v>
      </c>
      <c r="F12" s="254" t="s">
        <v>215</v>
      </c>
      <c r="G12" s="255" t="s">
        <v>317</v>
      </c>
    </row>
    <row r="13" spans="1:8" s="250" customFormat="1" hidden="1" outlineLevel="1" x14ac:dyDescent="0.25">
      <c r="A13" s="251" t="s">
        <v>318</v>
      </c>
      <c r="B13" s="252">
        <v>44035</v>
      </c>
      <c r="C13" s="251" t="s">
        <v>319</v>
      </c>
      <c r="D13" s="253">
        <v>3500</v>
      </c>
      <c r="E13" s="254" t="s">
        <v>217</v>
      </c>
      <c r="F13" s="254" t="s">
        <v>217</v>
      </c>
      <c r="G13" s="255"/>
    </row>
    <row r="14" spans="1:8" s="250" customFormat="1" hidden="1" outlineLevel="1" x14ac:dyDescent="0.25">
      <c r="A14" s="251" t="s">
        <v>320</v>
      </c>
      <c r="B14" s="252">
        <v>44035</v>
      </c>
      <c r="C14" s="251" t="s">
        <v>179</v>
      </c>
      <c r="D14" s="253">
        <v>0</v>
      </c>
      <c r="E14" s="254"/>
      <c r="F14" s="254"/>
      <c r="G14" s="255" t="s">
        <v>309</v>
      </c>
    </row>
    <row r="15" spans="1:8" s="250" customFormat="1" hidden="1" outlineLevel="1" x14ac:dyDescent="0.25">
      <c r="A15" s="251" t="s">
        <v>321</v>
      </c>
      <c r="B15" s="252">
        <v>44040</v>
      </c>
      <c r="C15" s="251" t="s">
        <v>162</v>
      </c>
      <c r="D15" s="253">
        <v>3500</v>
      </c>
      <c r="E15" s="254" t="s">
        <v>217</v>
      </c>
      <c r="F15" s="254" t="s">
        <v>217</v>
      </c>
      <c r="G15" s="255"/>
    </row>
    <row r="16" spans="1:8" s="250" customFormat="1" hidden="1" outlineLevel="1" x14ac:dyDescent="0.25">
      <c r="A16" s="251" t="s">
        <v>322</v>
      </c>
      <c r="B16" s="252">
        <v>44054</v>
      </c>
      <c r="C16" s="251" t="s">
        <v>316</v>
      </c>
      <c r="D16" s="253">
        <v>0</v>
      </c>
      <c r="E16" s="254" t="s">
        <v>215</v>
      </c>
      <c r="F16" s="254" t="s">
        <v>215</v>
      </c>
      <c r="G16" s="255"/>
    </row>
    <row r="17" spans="1:7" s="250" customFormat="1" hidden="1" outlineLevel="1" x14ac:dyDescent="0.25">
      <c r="A17" s="251" t="s">
        <v>323</v>
      </c>
      <c r="B17" s="252">
        <v>44063</v>
      </c>
      <c r="C17" s="251" t="s">
        <v>179</v>
      </c>
      <c r="D17" s="253">
        <v>0</v>
      </c>
      <c r="E17" s="254"/>
      <c r="F17" s="254"/>
      <c r="G17" s="255" t="s">
        <v>309</v>
      </c>
    </row>
    <row r="18" spans="1:7" s="250" customFormat="1" hidden="1" outlineLevel="1" x14ac:dyDescent="0.25">
      <c r="A18" s="251" t="s">
        <v>324</v>
      </c>
      <c r="B18" s="252">
        <v>44068</v>
      </c>
      <c r="C18" s="251" t="s">
        <v>316</v>
      </c>
      <c r="D18" s="253">
        <v>0</v>
      </c>
      <c r="E18" s="254"/>
      <c r="F18" s="254"/>
      <c r="G18" s="255"/>
    </row>
    <row r="19" spans="1:7" s="250" customFormat="1" hidden="1" outlineLevel="1" x14ac:dyDescent="0.25">
      <c r="A19" s="251" t="s">
        <v>325</v>
      </c>
      <c r="B19" s="252">
        <v>44097</v>
      </c>
      <c r="C19" s="251" t="s">
        <v>151</v>
      </c>
      <c r="D19" s="253">
        <v>3500</v>
      </c>
      <c r="E19" s="254" t="s">
        <v>217</v>
      </c>
      <c r="F19" s="257" t="s">
        <v>215</v>
      </c>
      <c r="G19" s="255" t="s">
        <v>418</v>
      </c>
    </row>
    <row r="20" spans="1:7" s="250" customFormat="1" hidden="1" outlineLevel="1" x14ac:dyDescent="0.25">
      <c r="A20" s="251" t="s">
        <v>419</v>
      </c>
      <c r="B20" s="252">
        <v>44103</v>
      </c>
      <c r="C20" s="251" t="s">
        <v>420</v>
      </c>
      <c r="D20" s="253">
        <v>1500</v>
      </c>
      <c r="E20" s="254" t="s">
        <v>217</v>
      </c>
      <c r="F20" s="254" t="s">
        <v>217</v>
      </c>
      <c r="G20" s="255"/>
    </row>
    <row r="21" spans="1:7" s="250" customFormat="1" hidden="1" outlineLevel="1" x14ac:dyDescent="0.25">
      <c r="A21" s="251" t="s">
        <v>327</v>
      </c>
      <c r="B21" s="252">
        <v>44110</v>
      </c>
      <c r="C21" s="251" t="s">
        <v>316</v>
      </c>
      <c r="D21" s="253">
        <v>0</v>
      </c>
      <c r="E21" s="254" t="s">
        <v>215</v>
      </c>
      <c r="F21" s="254" t="s">
        <v>215</v>
      </c>
      <c r="G21" s="255"/>
    </row>
    <row r="22" spans="1:7" s="250" customFormat="1" hidden="1" outlineLevel="1" x14ac:dyDescent="0.25">
      <c r="A22" s="251" t="s">
        <v>326</v>
      </c>
      <c r="B22" s="252">
        <v>44118</v>
      </c>
      <c r="C22" s="251" t="s">
        <v>190</v>
      </c>
      <c r="D22" s="253">
        <v>3500</v>
      </c>
      <c r="E22" s="254" t="s">
        <v>217</v>
      </c>
      <c r="F22" s="257" t="s">
        <v>215</v>
      </c>
      <c r="G22" s="255" t="s">
        <v>455</v>
      </c>
    </row>
    <row r="23" spans="1:7" s="250" customFormat="1" hidden="1" outlineLevel="1" x14ac:dyDescent="0.25">
      <c r="A23" s="251" t="s">
        <v>328</v>
      </c>
      <c r="B23" s="252">
        <v>44126</v>
      </c>
      <c r="C23" s="251" t="s">
        <v>319</v>
      </c>
      <c r="D23" s="253">
        <v>3500</v>
      </c>
      <c r="E23" s="254" t="s">
        <v>217</v>
      </c>
      <c r="F23" s="254" t="s">
        <v>217</v>
      </c>
      <c r="G23" s="255"/>
    </row>
    <row r="24" spans="1:7" s="250" customFormat="1" hidden="1" outlineLevel="1" x14ac:dyDescent="0.25">
      <c r="A24" s="251" t="s">
        <v>464</v>
      </c>
      <c r="B24" s="252">
        <v>44153</v>
      </c>
      <c r="C24" s="251" t="s">
        <v>151</v>
      </c>
      <c r="D24" s="253">
        <v>0</v>
      </c>
      <c r="E24" s="254"/>
      <c r="F24" s="254"/>
      <c r="G24" s="255" t="s">
        <v>465</v>
      </c>
    </row>
    <row r="25" spans="1:7" s="250" customFormat="1" hidden="1" outlineLevel="1" x14ac:dyDescent="0.25">
      <c r="A25" s="251" t="s">
        <v>435</v>
      </c>
      <c r="B25" s="252">
        <v>44168</v>
      </c>
      <c r="C25" s="251" t="s">
        <v>151</v>
      </c>
      <c r="D25" s="258">
        <v>3500</v>
      </c>
      <c r="E25" s="254" t="s">
        <v>217</v>
      </c>
      <c r="F25" s="257" t="s">
        <v>215</v>
      </c>
      <c r="G25" s="259"/>
    </row>
    <row r="26" spans="1:7" s="250" customFormat="1" hidden="1" outlineLevel="1" x14ac:dyDescent="0.25">
      <c r="A26" s="726" t="s">
        <v>330</v>
      </c>
      <c r="B26" s="728">
        <v>44173</v>
      </c>
      <c r="C26" s="251" t="s">
        <v>492</v>
      </c>
      <c r="D26" s="258">
        <v>3500</v>
      </c>
      <c r="E26" s="254" t="s">
        <v>217</v>
      </c>
      <c r="F26" s="254" t="s">
        <v>217</v>
      </c>
      <c r="G26" s="259"/>
    </row>
    <row r="27" spans="1:7" s="250" customFormat="1" hidden="1" outlineLevel="1" x14ac:dyDescent="0.25">
      <c r="A27" s="727"/>
      <c r="B27" s="729"/>
      <c r="C27" s="251" t="s">
        <v>493</v>
      </c>
      <c r="D27" s="258">
        <v>10000</v>
      </c>
      <c r="E27" s="254" t="s">
        <v>217</v>
      </c>
      <c r="F27" s="257" t="s">
        <v>215</v>
      </c>
      <c r="G27" s="259"/>
    </row>
    <row r="28" spans="1:7" s="250" customFormat="1" hidden="1" outlineLevel="1" x14ac:dyDescent="0.25">
      <c r="A28" s="730" t="s">
        <v>331</v>
      </c>
      <c r="B28" s="728">
        <v>44180</v>
      </c>
      <c r="C28" s="251" t="s">
        <v>494</v>
      </c>
      <c r="D28" s="258">
        <v>7500</v>
      </c>
      <c r="E28" s="254" t="s">
        <v>217</v>
      </c>
      <c r="F28" s="254" t="s">
        <v>217</v>
      </c>
      <c r="G28" s="259"/>
    </row>
    <row r="29" spans="1:7" s="250" customFormat="1" hidden="1" outlineLevel="1" x14ac:dyDescent="0.25">
      <c r="A29" s="731"/>
      <c r="B29" s="729"/>
      <c r="C29" s="251" t="s">
        <v>495</v>
      </c>
      <c r="D29" s="258">
        <v>3500</v>
      </c>
      <c r="E29" s="254" t="s">
        <v>217</v>
      </c>
      <c r="F29" s="254" t="s">
        <v>217</v>
      </c>
      <c r="G29" s="259"/>
    </row>
    <row r="30" spans="1:7" s="250" customFormat="1" hidden="1" outlineLevel="1" x14ac:dyDescent="0.25">
      <c r="A30" s="251" t="s">
        <v>332</v>
      </c>
      <c r="B30" s="260">
        <v>44174</v>
      </c>
      <c r="C30" s="251" t="s">
        <v>436</v>
      </c>
      <c r="D30" s="258">
        <v>2487</v>
      </c>
      <c r="E30" s="254" t="s">
        <v>217</v>
      </c>
      <c r="F30" s="254" t="s">
        <v>217</v>
      </c>
      <c r="G30" s="259"/>
    </row>
    <row r="31" spans="1:7" s="250" customFormat="1" hidden="1" outlineLevel="1" x14ac:dyDescent="0.25">
      <c r="A31" s="251" t="s">
        <v>329</v>
      </c>
      <c r="B31" s="260">
        <v>44181</v>
      </c>
      <c r="C31" s="251" t="s">
        <v>312</v>
      </c>
      <c r="D31" s="258">
        <v>10000</v>
      </c>
      <c r="E31" s="254" t="s">
        <v>217</v>
      </c>
      <c r="F31" s="254" t="s">
        <v>217</v>
      </c>
      <c r="G31" s="259"/>
    </row>
    <row r="32" spans="1:7" s="250" customFormat="1" hidden="1" outlineLevel="1" x14ac:dyDescent="0.25">
      <c r="A32" s="251" t="s">
        <v>475</v>
      </c>
      <c r="B32" s="260">
        <v>44223</v>
      </c>
      <c r="C32" s="251" t="s">
        <v>151</v>
      </c>
      <c r="D32" s="258">
        <v>0</v>
      </c>
      <c r="E32" s="254"/>
      <c r="F32" s="254"/>
      <c r="G32" s="255" t="s">
        <v>465</v>
      </c>
    </row>
    <row r="33" spans="1:7" s="250" customFormat="1" hidden="1" outlineLevel="1" x14ac:dyDescent="0.25">
      <c r="A33" s="251" t="s">
        <v>422</v>
      </c>
      <c r="B33" s="260">
        <v>44229</v>
      </c>
      <c r="C33" s="251"/>
      <c r="D33" s="258">
        <v>0</v>
      </c>
      <c r="E33" s="254"/>
      <c r="F33" s="257"/>
      <c r="G33" s="255"/>
    </row>
    <row r="34" spans="1:7" s="250" customFormat="1" hidden="1" outlineLevel="1" x14ac:dyDescent="0.25">
      <c r="A34" s="251" t="s">
        <v>528</v>
      </c>
      <c r="B34" s="260">
        <v>44237</v>
      </c>
      <c r="C34" s="251"/>
      <c r="D34" s="258">
        <v>0</v>
      </c>
      <c r="E34" s="254"/>
      <c r="F34" s="257"/>
      <c r="G34" s="255"/>
    </row>
    <row r="35" spans="1:7" s="250" customFormat="1" hidden="1" outlineLevel="1" x14ac:dyDescent="0.25">
      <c r="A35" s="251" t="s">
        <v>476</v>
      </c>
      <c r="B35" s="260">
        <v>44238</v>
      </c>
      <c r="C35" s="251" t="s">
        <v>151</v>
      </c>
      <c r="D35" s="258">
        <v>0</v>
      </c>
      <c r="E35" s="254"/>
      <c r="F35" s="254"/>
      <c r="G35" s="255" t="s">
        <v>465</v>
      </c>
    </row>
    <row r="36" spans="1:7" s="250" customFormat="1" hidden="1" outlineLevel="1" x14ac:dyDescent="0.25">
      <c r="A36" s="251" t="s">
        <v>496</v>
      </c>
      <c r="B36" s="260">
        <v>44257</v>
      </c>
      <c r="C36" s="251"/>
      <c r="D36" s="258">
        <v>0</v>
      </c>
      <c r="E36" s="254"/>
      <c r="F36" s="254"/>
      <c r="G36" s="255"/>
    </row>
    <row r="37" spans="1:7" s="250" customFormat="1" hidden="1" outlineLevel="1" x14ac:dyDescent="0.25">
      <c r="A37" s="251" t="s">
        <v>553</v>
      </c>
      <c r="B37" s="260">
        <v>44266</v>
      </c>
      <c r="C37" s="251" t="s">
        <v>179</v>
      </c>
      <c r="D37" s="258">
        <v>3500</v>
      </c>
      <c r="E37" s="254" t="s">
        <v>217</v>
      </c>
      <c r="F37" s="254" t="s">
        <v>217</v>
      </c>
      <c r="G37" s="255"/>
    </row>
    <row r="38" spans="1:7" s="250" customFormat="1" hidden="1" outlineLevel="1" x14ac:dyDescent="0.25">
      <c r="A38" s="251" t="s">
        <v>554</v>
      </c>
      <c r="B38" s="260">
        <v>44273</v>
      </c>
      <c r="C38" s="251" t="s">
        <v>319</v>
      </c>
      <c r="D38" s="258">
        <v>3500</v>
      </c>
      <c r="E38" s="254" t="s">
        <v>217</v>
      </c>
      <c r="F38" s="254" t="s">
        <v>217</v>
      </c>
      <c r="G38" s="255"/>
    </row>
    <row r="39" spans="1:7" s="250" customFormat="1" hidden="1" outlineLevel="1" x14ac:dyDescent="0.25">
      <c r="A39" s="251" t="s">
        <v>497</v>
      </c>
      <c r="B39" s="260">
        <v>44280</v>
      </c>
      <c r="C39" s="261" t="s">
        <v>151</v>
      </c>
      <c r="D39" s="258">
        <v>0</v>
      </c>
      <c r="E39" s="254"/>
      <c r="F39" s="262"/>
      <c r="G39" s="255" t="s">
        <v>585</v>
      </c>
    </row>
    <row r="40" spans="1:7" s="250" customFormat="1" hidden="1" outlineLevel="1" x14ac:dyDescent="0.25">
      <c r="A40" s="251" t="s">
        <v>555</v>
      </c>
      <c r="B40" s="260">
        <v>44286</v>
      </c>
      <c r="C40" s="261" t="s">
        <v>556</v>
      </c>
      <c r="D40" s="258">
        <v>4500</v>
      </c>
      <c r="E40" s="254" t="s">
        <v>217</v>
      </c>
      <c r="F40" s="262" t="s">
        <v>217</v>
      </c>
      <c r="G40" s="255"/>
    </row>
    <row r="41" spans="1:7" s="250" customFormat="1" hidden="1" outlineLevel="1" x14ac:dyDescent="0.25">
      <c r="A41" s="251" t="s">
        <v>477</v>
      </c>
      <c r="B41" s="260">
        <v>44293</v>
      </c>
      <c r="C41" s="251" t="s">
        <v>151</v>
      </c>
      <c r="D41" s="258">
        <v>0</v>
      </c>
      <c r="E41" s="254"/>
      <c r="F41" s="254"/>
      <c r="G41" s="255" t="s">
        <v>465</v>
      </c>
    </row>
    <row r="42" spans="1:7" s="250" customFormat="1" hidden="1" outlineLevel="1" x14ac:dyDescent="0.25">
      <c r="A42" s="251" t="s">
        <v>421</v>
      </c>
      <c r="B42" s="260">
        <v>44294</v>
      </c>
      <c r="C42" s="251" t="s">
        <v>334</v>
      </c>
      <c r="D42" s="258">
        <v>0</v>
      </c>
      <c r="E42" s="263"/>
      <c r="F42" s="254"/>
      <c r="G42" s="255" t="s">
        <v>465</v>
      </c>
    </row>
    <row r="43" spans="1:7" s="250" customFormat="1" hidden="1" outlineLevel="1" x14ac:dyDescent="0.25">
      <c r="A43" s="251" t="s">
        <v>601</v>
      </c>
      <c r="B43" s="260">
        <v>44298</v>
      </c>
      <c r="C43" s="251" t="s">
        <v>179</v>
      </c>
      <c r="D43" s="258">
        <v>25000</v>
      </c>
      <c r="E43" s="263" t="s">
        <v>217</v>
      </c>
      <c r="F43" s="254" t="s">
        <v>217</v>
      </c>
      <c r="G43" s="255"/>
    </row>
    <row r="44" spans="1:7" s="250" customFormat="1" hidden="1" outlineLevel="1" x14ac:dyDescent="0.25">
      <c r="A44" s="251" t="s">
        <v>305</v>
      </c>
      <c r="B44" s="260">
        <v>44300</v>
      </c>
      <c r="C44" s="251" t="s">
        <v>188</v>
      </c>
      <c r="D44" s="258">
        <v>4500</v>
      </c>
      <c r="E44" s="254" t="s">
        <v>217</v>
      </c>
      <c r="F44" s="254" t="s">
        <v>217</v>
      </c>
      <c r="G44" s="255"/>
    </row>
    <row r="45" spans="1:7" s="250" customFormat="1" hidden="1" outlineLevel="1" x14ac:dyDescent="0.25">
      <c r="A45" s="251" t="s">
        <v>602</v>
      </c>
      <c r="B45" s="260">
        <v>44312</v>
      </c>
      <c r="C45" s="251"/>
      <c r="D45" s="258">
        <v>0</v>
      </c>
      <c r="E45" s="254"/>
      <c r="F45" s="254"/>
      <c r="G45" s="255" t="s">
        <v>465</v>
      </c>
    </row>
    <row r="46" spans="1:7" s="250" customFormat="1" hidden="1" outlineLevel="1" x14ac:dyDescent="0.25">
      <c r="A46" s="251" t="s">
        <v>498</v>
      </c>
      <c r="B46" s="260">
        <v>44327</v>
      </c>
      <c r="C46" s="261" t="s">
        <v>151</v>
      </c>
      <c r="D46" s="258">
        <v>0</v>
      </c>
      <c r="E46" s="254"/>
      <c r="F46" s="262"/>
      <c r="G46" s="255" t="s">
        <v>585</v>
      </c>
    </row>
    <row r="47" spans="1:7" s="250" customFormat="1" hidden="1" outlineLevel="1" x14ac:dyDescent="0.25">
      <c r="A47" s="251" t="s">
        <v>529</v>
      </c>
      <c r="B47" s="260">
        <v>44329</v>
      </c>
      <c r="C47" s="261" t="s">
        <v>162</v>
      </c>
      <c r="D47" s="258">
        <v>3500</v>
      </c>
      <c r="E47" s="254" t="s">
        <v>217</v>
      </c>
      <c r="F47" s="254" t="s">
        <v>217</v>
      </c>
      <c r="G47" s="255"/>
    </row>
    <row r="48" spans="1:7" s="250" customFormat="1" hidden="1" outlineLevel="1" x14ac:dyDescent="0.25">
      <c r="A48" s="251" t="s">
        <v>603</v>
      </c>
      <c r="B48" s="260">
        <v>44333</v>
      </c>
      <c r="C48" s="261"/>
      <c r="D48" s="258">
        <v>0</v>
      </c>
      <c r="E48" s="254"/>
      <c r="F48" s="254"/>
      <c r="G48" s="255" t="s">
        <v>465</v>
      </c>
    </row>
    <row r="49" spans="1:7" s="250" customFormat="1" hidden="1" outlineLevel="1" x14ac:dyDescent="0.25">
      <c r="A49" s="251" t="s">
        <v>586</v>
      </c>
      <c r="B49" s="260">
        <v>44335</v>
      </c>
      <c r="C49" s="261"/>
      <c r="D49" s="258">
        <v>0</v>
      </c>
      <c r="E49" s="254"/>
      <c r="F49" s="254"/>
      <c r="G49" s="255" t="s">
        <v>587</v>
      </c>
    </row>
    <row r="50" spans="1:7" s="250" customFormat="1" hidden="1" outlineLevel="1" x14ac:dyDescent="0.25">
      <c r="A50" s="251" t="s">
        <v>426</v>
      </c>
      <c r="B50" s="260">
        <v>44341</v>
      </c>
      <c r="C50" s="261"/>
      <c r="D50" s="258">
        <v>0</v>
      </c>
      <c r="E50" s="254"/>
      <c r="F50" s="254"/>
      <c r="G50" s="255"/>
    </row>
    <row r="51" spans="1:7" s="250" customFormat="1" hidden="1" outlineLevel="1" x14ac:dyDescent="0.25">
      <c r="A51" s="251" t="s">
        <v>604</v>
      </c>
      <c r="B51" s="260">
        <v>44354</v>
      </c>
      <c r="C51" s="251"/>
      <c r="D51" s="258">
        <v>0</v>
      </c>
      <c r="E51" s="254"/>
      <c r="F51" s="254"/>
      <c r="G51" s="255" t="s">
        <v>465</v>
      </c>
    </row>
    <row r="52" spans="1:7" s="250" customFormat="1" hidden="1" outlineLevel="1" x14ac:dyDescent="0.25">
      <c r="A52" s="251" t="s">
        <v>528</v>
      </c>
      <c r="B52" s="260">
        <v>44392</v>
      </c>
      <c r="C52" s="261"/>
      <c r="D52" s="258">
        <v>0</v>
      </c>
      <c r="E52" s="254"/>
      <c r="F52" s="262"/>
      <c r="G52" s="255"/>
    </row>
    <row r="53" spans="1:7" s="250" customFormat="1" hidden="1" outlineLevel="1" x14ac:dyDescent="0.25">
      <c r="A53" s="251" t="s">
        <v>605</v>
      </c>
      <c r="B53" s="260">
        <v>44396</v>
      </c>
      <c r="C53" s="251" t="s">
        <v>179</v>
      </c>
      <c r="D53" s="258">
        <v>25000</v>
      </c>
      <c r="E53" s="254" t="s">
        <v>217</v>
      </c>
      <c r="F53" s="254" t="s">
        <v>217</v>
      </c>
      <c r="G53" s="255"/>
    </row>
    <row r="54" spans="1:7" s="250" customFormat="1" hidden="1" outlineLevel="1" x14ac:dyDescent="0.25">
      <c r="A54" s="251" t="s">
        <v>499</v>
      </c>
      <c r="B54" s="260">
        <v>44397</v>
      </c>
      <c r="C54" s="261" t="s">
        <v>151</v>
      </c>
      <c r="D54" s="258">
        <v>0</v>
      </c>
      <c r="E54" s="254"/>
      <c r="F54" s="262"/>
      <c r="G54" s="255" t="s">
        <v>585</v>
      </c>
    </row>
    <row r="55" spans="1:7" s="250" customFormat="1" hidden="1" outlineLevel="1" x14ac:dyDescent="0.25">
      <c r="A55" s="251" t="s">
        <v>661</v>
      </c>
      <c r="B55" s="260">
        <v>44410</v>
      </c>
      <c r="C55" s="251" t="s">
        <v>179</v>
      </c>
      <c r="D55" s="258">
        <v>0</v>
      </c>
      <c r="E55" s="254"/>
      <c r="F55" s="262"/>
      <c r="G55" s="255"/>
    </row>
    <row r="56" spans="1:7" s="250" customFormat="1" hidden="1" outlineLevel="1" x14ac:dyDescent="0.25">
      <c r="A56" s="251" t="s">
        <v>530</v>
      </c>
      <c r="B56" s="260">
        <v>44420</v>
      </c>
      <c r="C56" s="251" t="s">
        <v>162</v>
      </c>
      <c r="D56" s="258">
        <v>3500</v>
      </c>
      <c r="E56" s="254"/>
      <c r="F56" s="254"/>
      <c r="G56" s="255" t="s">
        <v>708</v>
      </c>
    </row>
    <row r="57" spans="1:7" s="250" customFormat="1" hidden="1" outlineLevel="1" x14ac:dyDescent="0.25">
      <c r="A57" s="251" t="s">
        <v>662</v>
      </c>
      <c r="B57" s="260">
        <v>44427</v>
      </c>
      <c r="C57" s="261" t="s">
        <v>663</v>
      </c>
      <c r="D57" s="258">
        <v>13500</v>
      </c>
      <c r="E57" s="254" t="s">
        <v>217</v>
      </c>
      <c r="F57" s="262" t="s">
        <v>217</v>
      </c>
      <c r="G57" s="255"/>
    </row>
    <row r="58" spans="1:7" s="250" customFormat="1" hidden="1" outlineLevel="1" x14ac:dyDescent="0.25">
      <c r="A58" s="251" t="s">
        <v>664</v>
      </c>
      <c r="B58" s="260">
        <v>44431</v>
      </c>
      <c r="C58" s="251" t="s">
        <v>179</v>
      </c>
      <c r="D58" s="258">
        <v>0</v>
      </c>
      <c r="E58" s="254"/>
      <c r="F58" s="262"/>
      <c r="G58" s="255"/>
    </row>
    <row r="59" spans="1:7" s="250" customFormat="1" hidden="1" outlineLevel="1" x14ac:dyDescent="0.25">
      <c r="A59" s="251" t="s">
        <v>665</v>
      </c>
      <c r="B59" s="260">
        <v>44433</v>
      </c>
      <c r="C59" s="261" t="s">
        <v>666</v>
      </c>
      <c r="D59" s="258">
        <v>8000</v>
      </c>
      <c r="E59" s="254" t="s">
        <v>217</v>
      </c>
      <c r="F59" s="262" t="s">
        <v>217</v>
      </c>
      <c r="G59" s="255"/>
    </row>
    <row r="60" spans="1:7" s="250" customFormat="1" hidden="1" outlineLevel="1" x14ac:dyDescent="0.25">
      <c r="A60" s="251" t="s">
        <v>667</v>
      </c>
      <c r="B60" s="260">
        <v>44452</v>
      </c>
      <c r="C60" s="251" t="s">
        <v>179</v>
      </c>
      <c r="D60" s="258">
        <v>0</v>
      </c>
      <c r="E60" s="254"/>
      <c r="F60" s="262"/>
      <c r="G60" s="255"/>
    </row>
    <row r="61" spans="1:7" s="250" customFormat="1" hidden="1" outlineLevel="1" x14ac:dyDescent="0.25">
      <c r="A61" s="251" t="s">
        <v>354</v>
      </c>
      <c r="B61" s="260">
        <v>44462</v>
      </c>
      <c r="C61" s="251" t="s">
        <v>557</v>
      </c>
      <c r="D61" s="258">
        <v>8500</v>
      </c>
      <c r="E61" s="254" t="s">
        <v>217</v>
      </c>
      <c r="F61" s="262" t="s">
        <v>217</v>
      </c>
      <c r="G61" s="255" t="s">
        <v>558</v>
      </c>
    </row>
    <row r="62" spans="1:7" s="250" customFormat="1" hidden="1" outlineLevel="1" x14ac:dyDescent="0.25">
      <c r="A62" s="251" t="s">
        <v>675</v>
      </c>
      <c r="B62" s="260">
        <v>44466</v>
      </c>
      <c r="C62" s="261" t="s">
        <v>188</v>
      </c>
      <c r="D62" s="258">
        <v>25000</v>
      </c>
      <c r="E62" s="254" t="s">
        <v>217</v>
      </c>
      <c r="F62" s="262" t="s">
        <v>217</v>
      </c>
      <c r="G62" s="255"/>
    </row>
    <row r="63" spans="1:7" s="250" customFormat="1" hidden="1" outlineLevel="1" x14ac:dyDescent="0.25">
      <c r="A63" s="251" t="s">
        <v>677</v>
      </c>
      <c r="B63" s="260">
        <v>44467</v>
      </c>
      <c r="C63" s="251" t="s">
        <v>312</v>
      </c>
      <c r="D63" s="258">
        <v>0</v>
      </c>
      <c r="E63" s="254" t="s">
        <v>217</v>
      </c>
      <c r="F63" s="262" t="s">
        <v>217</v>
      </c>
      <c r="G63" s="255" t="s">
        <v>585</v>
      </c>
    </row>
    <row r="64" spans="1:7" s="250" customFormat="1" hidden="1" outlineLevel="1" x14ac:dyDescent="0.25">
      <c r="A64" s="251" t="s">
        <v>639</v>
      </c>
      <c r="B64" s="260">
        <v>44468</v>
      </c>
      <c r="C64" s="261" t="s">
        <v>179</v>
      </c>
      <c r="D64" s="258">
        <v>15000</v>
      </c>
      <c r="E64" s="254" t="s">
        <v>217</v>
      </c>
      <c r="F64" s="262" t="s">
        <v>217</v>
      </c>
      <c r="G64" s="255" t="s">
        <v>676</v>
      </c>
    </row>
    <row r="65" spans="1:7" s="250" customFormat="1" hidden="1" outlineLevel="1" x14ac:dyDescent="0.25">
      <c r="A65" s="251" t="s">
        <v>640</v>
      </c>
      <c r="B65" s="260">
        <v>44476</v>
      </c>
      <c r="C65" s="261" t="s">
        <v>179</v>
      </c>
      <c r="D65" s="258">
        <v>3500</v>
      </c>
      <c r="E65" s="254" t="s">
        <v>217</v>
      </c>
      <c r="F65" s="262" t="s">
        <v>217</v>
      </c>
      <c r="G65" s="255"/>
    </row>
    <row r="66" spans="1:7" s="250" customFormat="1" hidden="1" outlineLevel="1" x14ac:dyDescent="0.25">
      <c r="A66" s="251" t="s">
        <v>679</v>
      </c>
      <c r="B66" s="260">
        <v>44490</v>
      </c>
      <c r="C66" s="261" t="s">
        <v>680</v>
      </c>
      <c r="D66" s="258">
        <v>3500</v>
      </c>
      <c r="E66" s="254" t="s">
        <v>217</v>
      </c>
      <c r="F66" s="254" t="s">
        <v>217</v>
      </c>
      <c r="G66" s="255"/>
    </row>
    <row r="67" spans="1:7" s="250" customFormat="1" hidden="1" outlineLevel="1" x14ac:dyDescent="0.25">
      <c r="A67" s="251" t="s">
        <v>681</v>
      </c>
      <c r="B67" s="260">
        <v>44494</v>
      </c>
      <c r="C67" s="261" t="s">
        <v>188</v>
      </c>
      <c r="D67" s="258">
        <v>0</v>
      </c>
      <c r="E67" s="254" t="s">
        <v>217</v>
      </c>
      <c r="F67" s="262" t="s">
        <v>217</v>
      </c>
      <c r="G67" s="255"/>
    </row>
    <row r="68" spans="1:7" s="250" customFormat="1" hidden="1" outlineLevel="1" x14ac:dyDescent="0.25">
      <c r="A68" s="251" t="s">
        <v>695</v>
      </c>
      <c r="B68" s="260">
        <v>44502</v>
      </c>
      <c r="C68" s="261"/>
      <c r="D68" s="258">
        <v>0</v>
      </c>
      <c r="E68" s="254"/>
      <c r="F68" s="262"/>
      <c r="G68" s="255"/>
    </row>
    <row r="69" spans="1:7" s="250" customFormat="1" hidden="1" outlineLevel="1" x14ac:dyDescent="0.25">
      <c r="A69" s="251" t="s">
        <v>712</v>
      </c>
      <c r="B69" s="260">
        <v>44504</v>
      </c>
      <c r="C69" s="261" t="s">
        <v>678</v>
      </c>
      <c r="D69" s="258">
        <v>3500</v>
      </c>
      <c r="E69" s="254" t="s">
        <v>217</v>
      </c>
      <c r="F69" s="254" t="s">
        <v>217</v>
      </c>
      <c r="G69" s="255"/>
    </row>
    <row r="70" spans="1:7" s="250" customFormat="1" hidden="1" outlineLevel="1" x14ac:dyDescent="0.25">
      <c r="A70" s="251" t="s">
        <v>641</v>
      </c>
      <c r="B70" s="260">
        <v>44510</v>
      </c>
      <c r="C70" s="261" t="s">
        <v>179</v>
      </c>
      <c r="D70" s="258">
        <v>0</v>
      </c>
      <c r="E70" s="254" t="s">
        <v>215</v>
      </c>
      <c r="F70" s="262" t="s">
        <v>215</v>
      </c>
      <c r="G70" s="255"/>
    </row>
    <row r="71" spans="1:7" s="250" customFormat="1" hidden="1" outlineLevel="1" x14ac:dyDescent="0.25">
      <c r="A71" s="251" t="s">
        <v>685</v>
      </c>
      <c r="B71" s="260">
        <v>44516</v>
      </c>
      <c r="C71" s="261" t="s">
        <v>220</v>
      </c>
      <c r="D71" s="258">
        <v>3500</v>
      </c>
      <c r="E71" s="254" t="s">
        <v>217</v>
      </c>
      <c r="F71" s="262" t="s">
        <v>217</v>
      </c>
      <c r="G71" s="255"/>
    </row>
    <row r="72" spans="1:7" s="250" customFormat="1" hidden="1" outlineLevel="1" x14ac:dyDescent="0.25">
      <c r="A72" s="251" t="s">
        <v>682</v>
      </c>
      <c r="B72" s="260">
        <v>44522</v>
      </c>
      <c r="C72" s="261" t="s">
        <v>188</v>
      </c>
      <c r="D72" s="258">
        <v>0</v>
      </c>
      <c r="E72" s="254" t="s">
        <v>217</v>
      </c>
      <c r="F72" s="262" t="s">
        <v>217</v>
      </c>
      <c r="G72" s="255"/>
    </row>
    <row r="73" spans="1:7" s="250" customFormat="1" hidden="1" outlineLevel="1" x14ac:dyDescent="0.25">
      <c r="A73" s="251" t="s">
        <v>683</v>
      </c>
      <c r="B73" s="260">
        <v>44532</v>
      </c>
      <c r="C73" s="261" t="s">
        <v>678</v>
      </c>
      <c r="D73" s="258">
        <v>3500</v>
      </c>
      <c r="E73" s="254" t="s">
        <v>217</v>
      </c>
      <c r="F73" s="254" t="s">
        <v>217</v>
      </c>
      <c r="G73" s="255" t="s">
        <v>757</v>
      </c>
    </row>
    <row r="74" spans="1:7" s="250" customFormat="1" hidden="1" outlineLevel="1" x14ac:dyDescent="0.25">
      <c r="A74" s="251" t="s">
        <v>758</v>
      </c>
      <c r="B74" s="260">
        <v>44539</v>
      </c>
      <c r="C74" s="261"/>
      <c r="D74" s="258">
        <v>2705</v>
      </c>
      <c r="E74" s="254"/>
      <c r="F74" s="262"/>
      <c r="G74" s="255"/>
    </row>
    <row r="75" spans="1:7" s="250" customFormat="1" hidden="1" outlineLevel="1" x14ac:dyDescent="0.25">
      <c r="A75" s="251" t="s">
        <v>684</v>
      </c>
      <c r="B75" s="260">
        <v>44543</v>
      </c>
      <c r="C75" s="261" t="s">
        <v>188</v>
      </c>
      <c r="D75" s="258">
        <v>0</v>
      </c>
      <c r="E75" s="254" t="s">
        <v>217</v>
      </c>
      <c r="F75" s="262" t="s">
        <v>217</v>
      </c>
      <c r="G75" s="255"/>
    </row>
    <row r="76" spans="1:7" s="250" customFormat="1" hidden="1" outlineLevel="1" x14ac:dyDescent="0.25">
      <c r="A76" s="264" t="s">
        <v>333</v>
      </c>
      <c r="B76" s="265"/>
      <c r="C76" s="266"/>
      <c r="D76" s="267">
        <f>SUM(D32:D75)</f>
        <v>163205</v>
      </c>
      <c r="E76" s="268"/>
      <c r="F76" s="268"/>
      <c r="G76" s="269"/>
    </row>
    <row r="77" spans="1:7" s="250" customFormat="1" hidden="1" outlineLevel="1" x14ac:dyDescent="0.25">
      <c r="A77" s="270" t="s">
        <v>643</v>
      </c>
      <c r="B77" s="271">
        <v>44573</v>
      </c>
      <c r="C77" s="272" t="s">
        <v>179</v>
      </c>
      <c r="D77" s="273">
        <v>0</v>
      </c>
      <c r="E77" s="274" t="s">
        <v>215</v>
      </c>
      <c r="F77" s="275" t="s">
        <v>215</v>
      </c>
      <c r="G77" s="276"/>
    </row>
    <row r="78" spans="1:7" s="250" customFormat="1" hidden="1" outlineLevel="1" x14ac:dyDescent="0.25">
      <c r="A78" s="270" t="s">
        <v>743</v>
      </c>
      <c r="B78" s="271">
        <v>44580</v>
      </c>
      <c r="C78" s="272" t="s">
        <v>744</v>
      </c>
      <c r="D78" s="273">
        <v>3500</v>
      </c>
      <c r="E78" s="274" t="s">
        <v>217</v>
      </c>
      <c r="F78" s="274" t="s">
        <v>217</v>
      </c>
      <c r="G78" s="276"/>
    </row>
    <row r="79" spans="1:7" s="250" customFormat="1" hidden="1" outlineLevel="1" x14ac:dyDescent="0.25">
      <c r="A79" s="270" t="s">
        <v>697</v>
      </c>
      <c r="B79" s="271">
        <v>44595</v>
      </c>
      <c r="C79" s="272" t="s">
        <v>678</v>
      </c>
      <c r="D79" s="273">
        <v>0</v>
      </c>
      <c r="E79" s="274"/>
      <c r="F79" s="275"/>
      <c r="G79" s="276"/>
    </row>
    <row r="80" spans="1:7" s="250" customFormat="1" hidden="1" outlineLevel="1" x14ac:dyDescent="0.25">
      <c r="A80" s="270" t="s">
        <v>747</v>
      </c>
      <c r="B80" s="271">
        <v>44602</v>
      </c>
      <c r="C80" s="272" t="s">
        <v>312</v>
      </c>
      <c r="D80" s="273">
        <v>10000</v>
      </c>
      <c r="E80" s="274" t="s">
        <v>217</v>
      </c>
      <c r="F80" s="275" t="s">
        <v>217</v>
      </c>
      <c r="G80" s="276"/>
    </row>
    <row r="81" spans="1:8" s="250" customFormat="1" hidden="1" outlineLevel="1" x14ac:dyDescent="0.25">
      <c r="A81" s="270" t="s">
        <v>702</v>
      </c>
      <c r="B81" s="271">
        <v>44607</v>
      </c>
      <c r="C81" s="272" t="s">
        <v>745</v>
      </c>
      <c r="D81" s="273">
        <v>3500</v>
      </c>
      <c r="E81" s="274" t="s">
        <v>217</v>
      </c>
      <c r="F81" s="275" t="s">
        <v>217</v>
      </c>
      <c r="G81" s="276" t="s">
        <v>746</v>
      </c>
    </row>
    <row r="82" spans="1:8" s="250" customFormat="1" hidden="1" outlineLevel="1" x14ac:dyDescent="0.25">
      <c r="A82" s="270" t="s">
        <v>813</v>
      </c>
      <c r="B82" s="277">
        <v>44641</v>
      </c>
      <c r="C82" s="272" t="s">
        <v>689</v>
      </c>
      <c r="D82" s="273">
        <v>3500</v>
      </c>
      <c r="E82" s="274" t="s">
        <v>217</v>
      </c>
      <c r="F82" s="275" t="s">
        <v>217</v>
      </c>
      <c r="G82" s="276"/>
    </row>
    <row r="83" spans="1:8" s="250" customFormat="1" hidden="1" outlineLevel="1" x14ac:dyDescent="0.25">
      <c r="A83" s="270" t="s">
        <v>814</v>
      </c>
      <c r="B83" s="277">
        <v>44644</v>
      </c>
      <c r="C83" s="272" t="s">
        <v>253</v>
      </c>
      <c r="D83" s="273">
        <v>3500</v>
      </c>
      <c r="E83" s="274" t="s">
        <v>217</v>
      </c>
      <c r="F83" s="275" t="s">
        <v>217</v>
      </c>
      <c r="G83" s="276" t="s">
        <v>842</v>
      </c>
    </row>
    <row r="84" spans="1:8" s="250" customFormat="1" hidden="1" outlineLevel="1" x14ac:dyDescent="0.25">
      <c r="A84" s="270" t="s">
        <v>305</v>
      </c>
      <c r="B84" s="277">
        <v>44651</v>
      </c>
      <c r="C84" s="272" t="s">
        <v>736</v>
      </c>
      <c r="D84" s="273">
        <v>3500</v>
      </c>
      <c r="E84" s="274" t="s">
        <v>217</v>
      </c>
      <c r="F84" s="275" t="s">
        <v>217</v>
      </c>
      <c r="G84" s="276"/>
    </row>
    <row r="85" spans="1:8" s="250" customFormat="1" hidden="1" outlineLevel="1" x14ac:dyDescent="0.25">
      <c r="A85" s="278" t="s">
        <v>765</v>
      </c>
      <c r="B85" s="277">
        <v>44656</v>
      </c>
      <c r="C85" s="272" t="s">
        <v>151</v>
      </c>
      <c r="D85" s="273">
        <v>3500</v>
      </c>
      <c r="E85" s="274" t="s">
        <v>217</v>
      </c>
      <c r="F85" s="275" t="s">
        <v>217</v>
      </c>
      <c r="G85" s="279" t="s">
        <v>843</v>
      </c>
      <c r="H85" s="280"/>
    </row>
    <row r="86" spans="1:8" s="250" customFormat="1" hidden="1" outlineLevel="1" x14ac:dyDescent="0.25">
      <c r="A86" s="278" t="s">
        <v>815</v>
      </c>
      <c r="B86" s="271">
        <v>44658</v>
      </c>
      <c r="C86" s="272" t="s">
        <v>678</v>
      </c>
      <c r="D86" s="273">
        <v>0</v>
      </c>
      <c r="E86" s="274" t="s">
        <v>217</v>
      </c>
      <c r="F86" s="275"/>
      <c r="G86" s="276"/>
      <c r="H86" s="280"/>
    </row>
    <row r="87" spans="1:8" s="250" customFormat="1" hidden="1" outlineLevel="1" x14ac:dyDescent="0.25">
      <c r="A87" s="281" t="s">
        <v>844</v>
      </c>
      <c r="B87" s="277">
        <v>44662</v>
      </c>
      <c r="C87" s="270" t="s">
        <v>188</v>
      </c>
      <c r="D87" s="273">
        <v>25000</v>
      </c>
      <c r="E87" s="274" t="s">
        <v>217</v>
      </c>
      <c r="F87" s="275">
        <v>10000</v>
      </c>
      <c r="G87" s="276" t="s">
        <v>845</v>
      </c>
    </row>
    <row r="88" spans="1:8" s="250" customFormat="1" hidden="1" outlineLevel="1" x14ac:dyDescent="0.25">
      <c r="A88" s="281" t="s">
        <v>846</v>
      </c>
      <c r="B88" s="277">
        <v>44669</v>
      </c>
      <c r="C88" s="270" t="s">
        <v>819</v>
      </c>
      <c r="D88" s="273">
        <v>25000</v>
      </c>
      <c r="E88" s="274" t="s">
        <v>217</v>
      </c>
      <c r="F88" s="275" t="s">
        <v>215</v>
      </c>
      <c r="G88" s="276"/>
    </row>
    <row r="89" spans="1:8" s="250" customFormat="1" hidden="1" outlineLevel="1" x14ac:dyDescent="0.25">
      <c r="A89" s="270" t="s">
        <v>817</v>
      </c>
      <c r="B89" s="277">
        <v>44679</v>
      </c>
      <c r="C89" s="272" t="s">
        <v>179</v>
      </c>
      <c r="D89" s="273">
        <v>3500</v>
      </c>
      <c r="E89" s="274" t="s">
        <v>217</v>
      </c>
      <c r="F89" s="275" t="s">
        <v>217</v>
      </c>
      <c r="G89" s="276"/>
    </row>
    <row r="90" spans="1:8" s="250" customFormat="1" hidden="1" outlineLevel="1" x14ac:dyDescent="0.25">
      <c r="A90" s="270" t="s">
        <v>696</v>
      </c>
      <c r="B90" s="271">
        <v>44686</v>
      </c>
      <c r="C90" s="272" t="s">
        <v>380</v>
      </c>
      <c r="D90" s="273">
        <v>3500</v>
      </c>
      <c r="E90" s="274" t="s">
        <v>217</v>
      </c>
      <c r="F90" s="275" t="s">
        <v>217</v>
      </c>
      <c r="G90" s="276" t="s">
        <v>847</v>
      </c>
    </row>
    <row r="91" spans="1:8" s="250" customFormat="1" hidden="1" outlineLevel="1" x14ac:dyDescent="0.25">
      <c r="A91" s="281" t="s">
        <v>848</v>
      </c>
      <c r="B91" s="277">
        <v>44690</v>
      </c>
      <c r="C91" s="270" t="s">
        <v>188</v>
      </c>
      <c r="D91" s="273">
        <v>0</v>
      </c>
      <c r="E91" s="274" t="s">
        <v>217</v>
      </c>
      <c r="F91" s="275"/>
      <c r="G91" s="276"/>
    </row>
    <row r="92" spans="1:8" s="250" customFormat="1" hidden="1" outlineLevel="1" x14ac:dyDescent="0.25">
      <c r="A92" s="281" t="s">
        <v>849</v>
      </c>
      <c r="B92" s="277">
        <v>44697</v>
      </c>
      <c r="C92" s="270" t="s">
        <v>819</v>
      </c>
      <c r="D92" s="273">
        <v>0</v>
      </c>
      <c r="E92" s="274" t="s">
        <v>217</v>
      </c>
      <c r="F92" s="275"/>
      <c r="G92" s="276"/>
    </row>
    <row r="93" spans="1:8" s="250" customFormat="1" hidden="1" outlineLevel="1" x14ac:dyDescent="0.25">
      <c r="A93" s="282" t="s">
        <v>850</v>
      </c>
      <c r="B93" s="283">
        <v>44698</v>
      </c>
      <c r="C93" s="284" t="s">
        <v>851</v>
      </c>
      <c r="D93" s="273">
        <v>0</v>
      </c>
      <c r="E93" s="274"/>
      <c r="F93" s="275"/>
      <c r="G93" s="276"/>
    </row>
    <row r="94" spans="1:8" s="250" customFormat="1" hidden="1" outlineLevel="1" x14ac:dyDescent="0.25">
      <c r="A94" s="270" t="s">
        <v>642</v>
      </c>
      <c r="B94" s="271">
        <v>44705</v>
      </c>
      <c r="C94" s="272" t="s">
        <v>596</v>
      </c>
      <c r="D94" s="273">
        <v>3500</v>
      </c>
      <c r="E94" s="274" t="s">
        <v>217</v>
      </c>
      <c r="F94" s="275" t="s">
        <v>217</v>
      </c>
      <c r="G94" s="276" t="s">
        <v>847</v>
      </c>
    </row>
    <row r="95" spans="1:8" s="250" customFormat="1" hidden="1" outlineLevel="1" x14ac:dyDescent="0.25">
      <c r="A95" s="281" t="s">
        <v>852</v>
      </c>
      <c r="B95" s="277">
        <v>44718</v>
      </c>
      <c r="C95" s="270" t="s">
        <v>188</v>
      </c>
      <c r="D95" s="273">
        <v>0</v>
      </c>
      <c r="E95" s="274" t="s">
        <v>217</v>
      </c>
      <c r="F95" s="275"/>
      <c r="G95" s="276"/>
    </row>
    <row r="96" spans="1:8" s="250" customFormat="1" hidden="1" outlineLevel="1" x14ac:dyDescent="0.25">
      <c r="A96" s="278" t="s">
        <v>766</v>
      </c>
      <c r="B96" s="277">
        <v>44719</v>
      </c>
      <c r="C96" s="272" t="s">
        <v>151</v>
      </c>
      <c r="D96" s="273">
        <v>0</v>
      </c>
      <c r="E96" s="274" t="s">
        <v>217</v>
      </c>
      <c r="F96" s="275"/>
      <c r="G96" s="276"/>
    </row>
    <row r="97" spans="1:8" s="250" customFormat="1" hidden="1" outlineLevel="1" x14ac:dyDescent="0.25">
      <c r="A97" s="270" t="s">
        <v>816</v>
      </c>
      <c r="B97" s="277">
        <v>44721</v>
      </c>
      <c r="C97" s="272" t="s">
        <v>717</v>
      </c>
      <c r="D97" s="273">
        <v>3500</v>
      </c>
      <c r="E97" s="274" t="s">
        <v>217</v>
      </c>
      <c r="F97" s="275" t="s">
        <v>217</v>
      </c>
      <c r="G97" s="276"/>
    </row>
    <row r="98" spans="1:8" s="250" customFormat="1" hidden="1" outlineLevel="1" x14ac:dyDescent="0.25">
      <c r="A98" s="270" t="s">
        <v>853</v>
      </c>
      <c r="B98" s="271">
        <v>44725</v>
      </c>
      <c r="C98" s="272" t="s">
        <v>819</v>
      </c>
      <c r="D98" s="273">
        <v>0</v>
      </c>
      <c r="E98" s="274" t="s">
        <v>217</v>
      </c>
      <c r="F98" s="275"/>
      <c r="G98" s="276"/>
    </row>
    <row r="99" spans="1:8" s="250" customFormat="1" hidden="1" outlineLevel="1" x14ac:dyDescent="0.25">
      <c r="A99" s="282" t="s">
        <v>818</v>
      </c>
      <c r="B99" s="283">
        <v>44727</v>
      </c>
      <c r="C99" s="272" t="s">
        <v>162</v>
      </c>
      <c r="D99" s="273">
        <v>3500</v>
      </c>
      <c r="E99" s="274" t="s">
        <v>217</v>
      </c>
      <c r="F99" s="275" t="s">
        <v>217</v>
      </c>
      <c r="G99" s="276"/>
    </row>
    <row r="100" spans="1:8" s="250" customFormat="1" hidden="1" outlineLevel="1" x14ac:dyDescent="0.25">
      <c r="A100" s="285" t="s">
        <v>854</v>
      </c>
      <c r="B100" s="277">
        <v>44735</v>
      </c>
      <c r="C100" s="270" t="s">
        <v>855</v>
      </c>
      <c r="D100" s="273">
        <v>3500</v>
      </c>
      <c r="E100" s="274" t="s">
        <v>217</v>
      </c>
      <c r="F100" s="275"/>
      <c r="G100" s="276" t="s">
        <v>860</v>
      </c>
    </row>
    <row r="101" spans="1:8" s="250" customFormat="1" hidden="1" outlineLevel="1" x14ac:dyDescent="0.25">
      <c r="A101" s="270" t="s">
        <v>856</v>
      </c>
      <c r="B101" s="277">
        <v>44760</v>
      </c>
      <c r="C101" s="270" t="s">
        <v>819</v>
      </c>
      <c r="D101" s="273">
        <v>0</v>
      </c>
      <c r="E101" s="274"/>
      <c r="F101" s="275"/>
      <c r="G101" s="276"/>
    </row>
    <row r="102" spans="1:8" s="250" customFormat="1" hidden="1" outlineLevel="1" x14ac:dyDescent="0.25">
      <c r="A102" s="281" t="s">
        <v>876</v>
      </c>
      <c r="B102" s="277">
        <v>44767</v>
      </c>
      <c r="C102" s="270" t="s">
        <v>179</v>
      </c>
      <c r="D102" s="273">
        <v>25000</v>
      </c>
      <c r="E102" s="275" t="s">
        <v>217</v>
      </c>
      <c r="F102" s="275"/>
      <c r="G102" s="276"/>
    </row>
    <row r="103" spans="1:8" s="250" customFormat="1" hidden="1" outlineLevel="1" x14ac:dyDescent="0.25">
      <c r="A103" s="278" t="s">
        <v>768</v>
      </c>
      <c r="B103" s="277">
        <v>44782</v>
      </c>
      <c r="C103" s="272" t="s">
        <v>151</v>
      </c>
      <c r="D103" s="273">
        <v>0</v>
      </c>
      <c r="E103" s="274" t="s">
        <v>217</v>
      </c>
      <c r="F103" s="275"/>
      <c r="G103" s="276"/>
    </row>
    <row r="104" spans="1:8" s="250" customFormat="1" hidden="1" outlineLevel="1" x14ac:dyDescent="0.25">
      <c r="A104" s="281" t="s">
        <v>877</v>
      </c>
      <c r="B104" s="277">
        <v>44788</v>
      </c>
      <c r="C104" s="270" t="s">
        <v>179</v>
      </c>
      <c r="D104" s="273">
        <v>0</v>
      </c>
      <c r="E104" s="274" t="s">
        <v>217</v>
      </c>
      <c r="F104" s="275"/>
      <c r="G104" s="276"/>
    </row>
    <row r="105" spans="1:8" s="250" customFormat="1" hidden="1" outlineLevel="1" x14ac:dyDescent="0.25">
      <c r="A105" s="270" t="s">
        <v>878</v>
      </c>
      <c r="B105" s="277">
        <v>44798</v>
      </c>
      <c r="C105" s="270" t="s">
        <v>179</v>
      </c>
      <c r="D105" s="273">
        <v>0</v>
      </c>
      <c r="E105" s="274" t="s">
        <v>217</v>
      </c>
      <c r="F105" s="275"/>
      <c r="G105" s="276"/>
    </row>
    <row r="106" spans="1:8" s="250" customFormat="1" ht="13.5" hidden="1" customHeight="1" outlineLevel="1" x14ac:dyDescent="0.25">
      <c r="A106" s="270" t="s">
        <v>555</v>
      </c>
      <c r="B106" s="271">
        <v>44798</v>
      </c>
      <c r="C106" s="272" t="s">
        <v>879</v>
      </c>
      <c r="D106" s="273">
        <v>8000</v>
      </c>
      <c r="E106" s="274" t="s">
        <v>217</v>
      </c>
      <c r="F106" s="275" t="s">
        <v>217</v>
      </c>
      <c r="G106" s="276"/>
    </row>
    <row r="107" spans="1:8" s="250" customFormat="1" hidden="1" outlineLevel="1" x14ac:dyDescent="0.25">
      <c r="A107" s="278" t="s">
        <v>769</v>
      </c>
      <c r="B107" s="277">
        <v>44802</v>
      </c>
      <c r="C107" s="272" t="s">
        <v>151</v>
      </c>
      <c r="D107" s="273">
        <v>0</v>
      </c>
      <c r="E107" s="274" t="s">
        <v>857</v>
      </c>
      <c r="F107" s="275"/>
      <c r="G107" s="276" t="s">
        <v>858</v>
      </c>
    </row>
    <row r="108" spans="1:8" s="250" customFormat="1" hidden="1" outlineLevel="1" x14ac:dyDescent="0.25">
      <c r="A108" s="270" t="s">
        <v>886</v>
      </c>
      <c r="B108" s="277">
        <v>44811</v>
      </c>
      <c r="C108" s="270" t="s">
        <v>179</v>
      </c>
      <c r="D108" s="273">
        <v>3500</v>
      </c>
      <c r="E108" s="274" t="s">
        <v>217</v>
      </c>
      <c r="F108" s="275" t="s">
        <v>217</v>
      </c>
      <c r="G108" s="276"/>
      <c r="H108" s="280"/>
    </row>
    <row r="109" spans="1:8" s="250" customFormat="1" hidden="1" outlineLevel="1" x14ac:dyDescent="0.25">
      <c r="A109" s="270" t="s">
        <v>880</v>
      </c>
      <c r="B109" s="277">
        <v>44816</v>
      </c>
      <c r="C109" s="270" t="s">
        <v>179</v>
      </c>
      <c r="D109" s="273"/>
      <c r="E109" s="274"/>
      <c r="F109" s="275"/>
      <c r="G109" s="276"/>
      <c r="H109" s="280"/>
    </row>
    <row r="110" spans="1:8" s="250" customFormat="1" hidden="1" outlineLevel="1" x14ac:dyDescent="0.25">
      <c r="A110" s="270" t="s">
        <v>915</v>
      </c>
      <c r="B110" s="277">
        <v>44825</v>
      </c>
      <c r="C110" s="270" t="s">
        <v>319</v>
      </c>
      <c r="D110" s="273">
        <v>3500</v>
      </c>
      <c r="E110" s="274" t="s">
        <v>217</v>
      </c>
      <c r="F110" s="275" t="s">
        <v>217</v>
      </c>
      <c r="G110" s="276" t="s">
        <v>847</v>
      </c>
    </row>
    <row r="111" spans="1:8" s="250" customFormat="1" hidden="1" outlineLevel="1" x14ac:dyDescent="0.25">
      <c r="A111" s="270" t="s">
        <v>916</v>
      </c>
      <c r="B111" s="277">
        <v>44830</v>
      </c>
      <c r="C111" s="286" t="s">
        <v>316</v>
      </c>
      <c r="D111" s="273"/>
      <c r="E111" s="274"/>
      <c r="F111" s="275"/>
      <c r="G111" s="276" t="s">
        <v>860</v>
      </c>
    </row>
    <row r="112" spans="1:8" s="250" customFormat="1" hidden="1" outlineLevel="1" x14ac:dyDescent="0.25">
      <c r="A112" s="270" t="s">
        <v>861</v>
      </c>
      <c r="B112" s="277">
        <v>44840</v>
      </c>
      <c r="C112" s="270" t="s">
        <v>748</v>
      </c>
      <c r="D112" s="273">
        <v>7000</v>
      </c>
      <c r="E112" s="274" t="s">
        <v>217</v>
      </c>
      <c r="F112" s="274" t="s">
        <v>217</v>
      </c>
      <c r="G112" s="276" t="s">
        <v>847</v>
      </c>
    </row>
    <row r="113" spans="1:8" s="250" customFormat="1" hidden="1" outlineLevel="1" x14ac:dyDescent="0.25">
      <c r="A113" s="281" t="s">
        <v>942</v>
      </c>
      <c r="B113" s="277">
        <v>44844</v>
      </c>
      <c r="C113" s="270" t="s">
        <v>943</v>
      </c>
      <c r="D113" s="273">
        <f>12500+1360+4950</f>
        <v>18810</v>
      </c>
      <c r="E113" s="275" t="s">
        <v>217</v>
      </c>
      <c r="F113" s="274"/>
      <c r="G113" s="276" t="s">
        <v>944</v>
      </c>
      <c r="H113" s="287"/>
    </row>
    <row r="114" spans="1:8" s="250" customFormat="1" hidden="1" outlineLevel="1" x14ac:dyDescent="0.25">
      <c r="A114" s="278" t="s">
        <v>770</v>
      </c>
      <c r="B114" s="277">
        <v>44846</v>
      </c>
      <c r="C114" s="272" t="s">
        <v>151</v>
      </c>
      <c r="D114" s="273">
        <v>0</v>
      </c>
      <c r="E114" s="274" t="s">
        <v>857</v>
      </c>
      <c r="F114" s="275"/>
      <c r="G114" s="276"/>
    </row>
    <row r="115" spans="1:8" s="250" customFormat="1" hidden="1" outlineLevel="1" x14ac:dyDescent="0.25">
      <c r="A115" s="288" t="s">
        <v>945</v>
      </c>
      <c r="B115" s="277">
        <v>44858</v>
      </c>
      <c r="C115" s="270" t="s">
        <v>931</v>
      </c>
      <c r="D115" s="273"/>
      <c r="E115" s="274"/>
      <c r="F115" s="274"/>
      <c r="G115" s="276"/>
    </row>
    <row r="116" spans="1:8" s="250" customFormat="1" hidden="1" outlineLevel="1" x14ac:dyDescent="0.25">
      <c r="A116" s="270" t="s">
        <v>762</v>
      </c>
      <c r="B116" s="277">
        <v>44860</v>
      </c>
      <c r="C116" s="270"/>
      <c r="D116" s="273">
        <f>-E525</f>
        <v>124380</v>
      </c>
      <c r="E116" s="274" t="s">
        <v>217</v>
      </c>
      <c r="F116" s="274"/>
      <c r="G116" s="276" t="s">
        <v>847</v>
      </c>
    </row>
    <row r="117" spans="1:8" s="250" customFormat="1" hidden="1" outlineLevel="1" x14ac:dyDescent="0.25">
      <c r="A117" s="270" t="s">
        <v>354</v>
      </c>
      <c r="B117" s="277">
        <v>44868</v>
      </c>
      <c r="C117" s="270" t="s">
        <v>557</v>
      </c>
      <c r="D117" s="289">
        <v>8500</v>
      </c>
      <c r="E117" s="274" t="s">
        <v>217</v>
      </c>
      <c r="F117" s="274" t="s">
        <v>217</v>
      </c>
      <c r="G117" s="276"/>
    </row>
    <row r="118" spans="1:8" s="250" customFormat="1" hidden="1" outlineLevel="1" x14ac:dyDescent="0.25">
      <c r="A118" s="270" t="s">
        <v>932</v>
      </c>
      <c r="B118" s="277">
        <v>44868</v>
      </c>
      <c r="C118" s="270" t="s">
        <v>933</v>
      </c>
      <c r="D118" s="273"/>
      <c r="E118" s="274"/>
      <c r="F118" s="274"/>
      <c r="G118" s="276"/>
    </row>
    <row r="119" spans="1:8" s="250" customFormat="1" hidden="1" outlineLevel="1" x14ac:dyDescent="0.25">
      <c r="A119" s="281" t="s">
        <v>946</v>
      </c>
      <c r="B119" s="290">
        <v>44872</v>
      </c>
      <c r="C119" s="291" t="s">
        <v>931</v>
      </c>
      <c r="D119" s="292"/>
      <c r="E119" s="293"/>
      <c r="F119" s="293"/>
      <c r="G119" s="294"/>
    </row>
    <row r="120" spans="1:8" s="250" customFormat="1" hidden="1" outlineLevel="1" x14ac:dyDescent="0.25">
      <c r="A120" s="270" t="s">
        <v>358</v>
      </c>
      <c r="B120" s="277">
        <v>44874</v>
      </c>
      <c r="C120" s="270" t="s">
        <v>319</v>
      </c>
      <c r="D120" s="273">
        <v>3500</v>
      </c>
      <c r="E120" s="274" t="s">
        <v>217</v>
      </c>
      <c r="F120" s="275" t="s">
        <v>217</v>
      </c>
      <c r="G120" s="276" t="s">
        <v>887</v>
      </c>
    </row>
    <row r="121" spans="1:8" s="250" customFormat="1" hidden="1" outlineLevel="1" x14ac:dyDescent="0.25">
      <c r="A121" s="278" t="s">
        <v>771</v>
      </c>
      <c r="B121" s="295">
        <v>44881</v>
      </c>
      <c r="C121" s="296" t="s">
        <v>151</v>
      </c>
      <c r="D121" s="297">
        <v>0</v>
      </c>
      <c r="E121" s="298" t="s">
        <v>857</v>
      </c>
      <c r="F121" s="299"/>
      <c r="G121" s="300"/>
    </row>
    <row r="122" spans="1:8" s="250" customFormat="1" hidden="1" outlineLevel="1" x14ac:dyDescent="0.25">
      <c r="A122" s="301" t="s">
        <v>947</v>
      </c>
      <c r="B122" s="302">
        <v>44882</v>
      </c>
      <c r="C122" s="303"/>
      <c r="D122" s="293"/>
      <c r="E122" s="293"/>
      <c r="F122" s="293"/>
      <c r="G122" s="294" t="s">
        <v>887</v>
      </c>
    </row>
    <row r="123" spans="1:8" s="250" customFormat="1" hidden="1" outlineLevel="1" x14ac:dyDescent="0.25">
      <c r="A123" s="281" t="s">
        <v>948</v>
      </c>
      <c r="B123" s="290">
        <v>44900</v>
      </c>
      <c r="C123" s="291" t="s">
        <v>931</v>
      </c>
      <c r="D123" s="292"/>
      <c r="E123" s="293"/>
      <c r="F123" s="304"/>
      <c r="G123" s="294"/>
    </row>
    <row r="124" spans="1:8" s="250" customFormat="1" ht="13.5" hidden="1" customHeight="1" outlineLevel="1" x14ac:dyDescent="0.25">
      <c r="A124" s="305" t="s">
        <v>949</v>
      </c>
      <c r="B124" s="306">
        <v>44902</v>
      </c>
      <c r="C124" s="307" t="s">
        <v>917</v>
      </c>
      <c r="D124" s="292">
        <v>3500</v>
      </c>
      <c r="E124" s="293" t="s">
        <v>217</v>
      </c>
      <c r="F124" s="293" t="s">
        <v>217</v>
      </c>
      <c r="G124" s="294"/>
    </row>
    <row r="125" spans="1:8" s="250" customFormat="1" hidden="1" outlineLevel="1" x14ac:dyDescent="0.25">
      <c r="A125" s="291" t="s">
        <v>1020</v>
      </c>
      <c r="B125" s="308">
        <v>44910</v>
      </c>
      <c r="C125" s="309" t="s">
        <v>974</v>
      </c>
      <c r="D125" s="310">
        <v>3500</v>
      </c>
      <c r="E125" s="293" t="s">
        <v>217</v>
      </c>
      <c r="F125" s="304" t="s">
        <v>217</v>
      </c>
      <c r="G125" s="311" t="s">
        <v>862</v>
      </c>
    </row>
    <row r="126" spans="1:8" s="250" customFormat="1" hidden="1" outlineLevel="1" x14ac:dyDescent="0.25">
      <c r="A126" s="312"/>
      <c r="B126" s="313"/>
      <c r="C126" s="106"/>
      <c r="D126" s="314"/>
      <c r="E126" s="315"/>
      <c r="F126" s="316"/>
      <c r="G126" s="317"/>
    </row>
    <row r="127" spans="1:8" s="250" customFormat="1" hidden="1" outlineLevel="1" x14ac:dyDescent="0.25">
      <c r="A127" s="318" t="s">
        <v>888</v>
      </c>
      <c r="B127" s="319"/>
      <c r="C127" s="249"/>
      <c r="D127" s="320">
        <f>SUM(D77:D125)</f>
        <v>311190</v>
      </c>
      <c r="E127" s="293"/>
      <c r="F127" s="293"/>
      <c r="G127" s="321"/>
    </row>
    <row r="128" spans="1:8" s="250" customFormat="1" hidden="1" outlineLevel="1" collapsed="1" x14ac:dyDescent="0.25"/>
    <row r="129" spans="1:7" s="250" customFormat="1" ht="18.75" hidden="1" outlineLevel="1" x14ac:dyDescent="0.3">
      <c r="A129" s="322" t="s">
        <v>1021</v>
      </c>
      <c r="B129" s="323"/>
      <c r="C129" s="324"/>
      <c r="D129" s="325"/>
      <c r="E129" s="326"/>
      <c r="F129" s="326"/>
      <c r="G129" s="327"/>
    </row>
    <row r="130" spans="1:7" s="250" customFormat="1" ht="13.5" hidden="1" customHeight="1" outlineLevel="1" x14ac:dyDescent="0.25">
      <c r="A130" s="291" t="s">
        <v>975</v>
      </c>
      <c r="B130" s="328">
        <v>44952</v>
      </c>
      <c r="C130" s="307" t="s">
        <v>1096</v>
      </c>
      <c r="D130" s="292">
        <f>3500+5000+1500</f>
        <v>10000</v>
      </c>
      <c r="E130" s="293" t="s">
        <v>217</v>
      </c>
      <c r="F130" s="304" t="s">
        <v>217</v>
      </c>
      <c r="G130" s="294"/>
    </row>
    <row r="131" spans="1:7" s="250" customFormat="1" hidden="1" outlineLevel="1" x14ac:dyDescent="0.25">
      <c r="A131" s="329" t="s">
        <v>1054</v>
      </c>
      <c r="B131" s="330">
        <v>44957</v>
      </c>
      <c r="C131" s="99" t="s">
        <v>1106</v>
      </c>
      <c r="D131" s="320"/>
      <c r="E131" s="293"/>
      <c r="F131" s="293"/>
      <c r="G131" s="321" t="s">
        <v>309</v>
      </c>
    </row>
    <row r="132" spans="1:7" s="250" customFormat="1" ht="13.5" hidden="1" customHeight="1" outlineLevel="1" x14ac:dyDescent="0.25">
      <c r="A132" s="291" t="s">
        <v>976</v>
      </c>
      <c r="B132" s="328">
        <v>44979</v>
      </c>
      <c r="C132" s="291" t="s">
        <v>1055</v>
      </c>
      <c r="D132" s="331">
        <v>3500</v>
      </c>
      <c r="E132" s="293" t="s">
        <v>1041</v>
      </c>
      <c r="F132" s="304" t="s">
        <v>215</v>
      </c>
      <c r="G132" s="311"/>
    </row>
    <row r="133" spans="1:7" s="250" customFormat="1" ht="13.5" hidden="1" customHeight="1" outlineLevel="1" x14ac:dyDescent="0.25">
      <c r="A133" s="291" t="s">
        <v>1056</v>
      </c>
      <c r="B133" s="328">
        <v>44993</v>
      </c>
      <c r="C133" s="307" t="s">
        <v>1057</v>
      </c>
      <c r="D133" s="292">
        <v>2500</v>
      </c>
      <c r="E133" s="293" t="s">
        <v>1016</v>
      </c>
      <c r="F133" s="304" t="s">
        <v>217</v>
      </c>
      <c r="G133" s="294" t="s">
        <v>1082</v>
      </c>
    </row>
    <row r="134" spans="1:7" s="250" customFormat="1" ht="13.5" hidden="1" customHeight="1" outlineLevel="1" x14ac:dyDescent="0.25">
      <c r="A134" s="332" t="s">
        <v>1058</v>
      </c>
      <c r="B134" s="333">
        <v>44999</v>
      </c>
      <c r="C134" s="309" t="s">
        <v>1059</v>
      </c>
      <c r="D134" s="334">
        <v>3500</v>
      </c>
      <c r="E134" s="304" t="s">
        <v>1043</v>
      </c>
      <c r="F134" s="304" t="s">
        <v>217</v>
      </c>
      <c r="G134" s="321" t="s">
        <v>860</v>
      </c>
    </row>
    <row r="135" spans="1:7" s="250" customFormat="1" ht="13.5" hidden="1" customHeight="1" outlineLevel="1" x14ac:dyDescent="0.25">
      <c r="A135" s="305" t="s">
        <v>1060</v>
      </c>
      <c r="B135" s="328">
        <v>45006</v>
      </c>
      <c r="C135" s="99" t="s">
        <v>1106</v>
      </c>
      <c r="D135" s="292"/>
      <c r="E135" s="293"/>
      <c r="F135" s="304"/>
      <c r="G135" s="294"/>
    </row>
    <row r="136" spans="1:7" s="250" customFormat="1" ht="13.5" hidden="1" customHeight="1" outlineLevel="1" x14ac:dyDescent="0.25">
      <c r="A136" s="291" t="s">
        <v>981</v>
      </c>
      <c r="B136" s="328">
        <v>45035</v>
      </c>
      <c r="C136" s="307" t="s">
        <v>1128</v>
      </c>
      <c r="D136" s="292"/>
      <c r="E136" s="293"/>
      <c r="F136" s="304"/>
      <c r="G136" s="294"/>
    </row>
    <row r="137" spans="1:7" s="250" customFormat="1" ht="13.5" hidden="1" customHeight="1" outlineLevel="1" x14ac:dyDescent="0.25">
      <c r="A137" s="329" t="s">
        <v>1107</v>
      </c>
      <c r="B137" s="335">
        <v>45036</v>
      </c>
      <c r="C137" s="307" t="s">
        <v>520</v>
      </c>
      <c r="D137" s="292">
        <v>3500</v>
      </c>
      <c r="E137" s="293" t="s">
        <v>1074</v>
      </c>
      <c r="F137" s="304" t="s">
        <v>217</v>
      </c>
      <c r="G137" s="294" t="s">
        <v>860</v>
      </c>
    </row>
    <row r="138" spans="1:7" s="250" customFormat="1" ht="13.5" hidden="1" customHeight="1" outlineLevel="1" x14ac:dyDescent="0.25">
      <c r="A138" s="291" t="s">
        <v>982</v>
      </c>
      <c r="B138" s="328">
        <v>45036</v>
      </c>
      <c r="C138" s="307" t="s">
        <v>1108</v>
      </c>
      <c r="D138" s="292"/>
      <c r="E138" s="293"/>
      <c r="F138" s="304"/>
      <c r="G138" s="294"/>
    </row>
    <row r="139" spans="1:7" s="250" customFormat="1" ht="13.5" hidden="1" customHeight="1" outlineLevel="1" x14ac:dyDescent="0.25">
      <c r="A139" s="301" t="s">
        <v>1062</v>
      </c>
      <c r="B139" s="328">
        <v>45043</v>
      </c>
      <c r="C139" s="307" t="s">
        <v>596</v>
      </c>
      <c r="D139" s="292">
        <v>3500</v>
      </c>
      <c r="E139" s="293" t="s">
        <v>911</v>
      </c>
      <c r="F139" s="304" t="s">
        <v>217</v>
      </c>
      <c r="G139" s="294" t="s">
        <v>860</v>
      </c>
    </row>
    <row r="140" spans="1:7" s="250" customFormat="1" ht="13.5" hidden="1" customHeight="1" outlineLevel="1" x14ac:dyDescent="0.25">
      <c r="A140" s="301" t="s">
        <v>1110</v>
      </c>
      <c r="B140" s="328">
        <v>45070</v>
      </c>
      <c r="C140" s="56" t="s">
        <v>179</v>
      </c>
      <c r="D140" s="292">
        <v>3500</v>
      </c>
      <c r="E140" s="293" t="s">
        <v>1040</v>
      </c>
      <c r="F140" s="304" t="s">
        <v>217</v>
      </c>
      <c r="G140" s="294" t="s">
        <v>1082</v>
      </c>
    </row>
    <row r="141" spans="1:7" s="250" customFormat="1" ht="13.5" hidden="1" customHeight="1" outlineLevel="1" x14ac:dyDescent="0.25">
      <c r="A141" s="291" t="s">
        <v>1111</v>
      </c>
      <c r="B141" s="328">
        <v>45077</v>
      </c>
      <c r="C141" s="307" t="s">
        <v>580</v>
      </c>
      <c r="D141" s="336">
        <v>3500</v>
      </c>
      <c r="E141" s="293" t="s">
        <v>1090</v>
      </c>
      <c r="F141" s="304" t="s">
        <v>217</v>
      </c>
      <c r="G141" s="294" t="s">
        <v>860</v>
      </c>
    </row>
    <row r="142" spans="1:7" s="250" customFormat="1" ht="13.5" hidden="1" customHeight="1" outlineLevel="1" x14ac:dyDescent="0.25">
      <c r="A142" s="291" t="s">
        <v>1063</v>
      </c>
      <c r="B142" s="328">
        <v>45084</v>
      </c>
      <c r="C142" s="307" t="s">
        <v>1129</v>
      </c>
      <c r="D142" s="336">
        <v>7000</v>
      </c>
      <c r="E142" s="293" t="s">
        <v>1130</v>
      </c>
      <c r="F142" s="304" t="s">
        <v>217</v>
      </c>
      <c r="G142" s="294" t="s">
        <v>1064</v>
      </c>
    </row>
    <row r="143" spans="1:7" s="250" customFormat="1" ht="13.5" hidden="1" customHeight="1" outlineLevel="1" x14ac:dyDescent="0.25">
      <c r="A143" s="291" t="s">
        <v>987</v>
      </c>
      <c r="B143" s="328">
        <v>45091</v>
      </c>
      <c r="C143" s="307" t="s">
        <v>1128</v>
      </c>
      <c r="D143" s="292"/>
      <c r="E143" s="293"/>
      <c r="F143" s="304"/>
      <c r="G143" s="294"/>
    </row>
    <row r="144" spans="1:7" s="250" customFormat="1" hidden="1" outlineLevel="1" x14ac:dyDescent="0.25">
      <c r="A144" s="337" t="s">
        <v>1061</v>
      </c>
      <c r="B144" s="338">
        <v>45092</v>
      </c>
      <c r="C144" s="64" t="s">
        <v>925</v>
      </c>
      <c r="D144" s="339">
        <v>3500</v>
      </c>
      <c r="E144" s="340" t="s">
        <v>1087</v>
      </c>
      <c r="F144" s="341" t="s">
        <v>217</v>
      </c>
      <c r="G144" s="342" t="s">
        <v>860</v>
      </c>
    </row>
    <row r="145" spans="1:7" s="250" customFormat="1" hidden="1" outlineLevel="1" x14ac:dyDescent="0.25">
      <c r="A145" s="329"/>
      <c r="B145" s="328">
        <v>45107</v>
      </c>
      <c r="C145" s="65" t="s">
        <v>1168</v>
      </c>
      <c r="D145" s="292">
        <v>3500</v>
      </c>
      <c r="E145" s="293" t="s">
        <v>930</v>
      </c>
      <c r="F145" s="304" t="s">
        <v>217</v>
      </c>
      <c r="G145" s="294"/>
    </row>
    <row r="146" spans="1:7" s="250" customFormat="1" ht="14.25" hidden="1" customHeight="1" outlineLevel="1" x14ac:dyDescent="0.25">
      <c r="A146" s="69" t="s">
        <v>1112</v>
      </c>
      <c r="B146" s="328">
        <v>45119</v>
      </c>
      <c r="C146" s="70" t="s">
        <v>1106</v>
      </c>
      <c r="D146" s="292"/>
      <c r="E146" s="293"/>
      <c r="F146" s="304"/>
      <c r="G146" s="294" t="s">
        <v>1083</v>
      </c>
    </row>
    <row r="147" spans="1:7" s="250" customFormat="1" ht="13.5" hidden="1" customHeight="1" outlineLevel="1" x14ac:dyDescent="0.25">
      <c r="A147" s="291" t="s">
        <v>1182</v>
      </c>
      <c r="B147" s="328">
        <v>45126</v>
      </c>
      <c r="C147" s="71" t="s">
        <v>1183</v>
      </c>
      <c r="D147" s="292">
        <v>0</v>
      </c>
      <c r="E147" s="293"/>
      <c r="F147" s="304"/>
      <c r="G147" s="294"/>
    </row>
    <row r="148" spans="1:7" s="250" customFormat="1" ht="13.5" hidden="1" customHeight="1" outlineLevel="1" x14ac:dyDescent="0.25">
      <c r="A148" s="291" t="s">
        <v>977</v>
      </c>
      <c r="B148" s="328">
        <v>45159</v>
      </c>
      <c r="C148" s="307" t="s">
        <v>1217</v>
      </c>
      <c r="D148" s="292"/>
      <c r="E148" s="293"/>
      <c r="F148" s="304"/>
      <c r="G148" s="294"/>
    </row>
    <row r="149" spans="1:7" s="250" customFormat="1" ht="13.5" hidden="1" customHeight="1" outlineLevel="1" x14ac:dyDescent="0.25">
      <c r="A149" s="73" t="s">
        <v>1131</v>
      </c>
      <c r="B149" s="328">
        <v>45160</v>
      </c>
      <c r="C149" s="74" t="s">
        <v>717</v>
      </c>
      <c r="D149" s="292">
        <v>3500</v>
      </c>
      <c r="E149" s="293" t="s">
        <v>972</v>
      </c>
      <c r="F149" s="304" t="s">
        <v>217</v>
      </c>
      <c r="G149" s="294" t="s">
        <v>860</v>
      </c>
    </row>
    <row r="150" spans="1:7" s="250" customFormat="1" ht="13.5" hidden="1" customHeight="1" outlineLevel="1" x14ac:dyDescent="0.25">
      <c r="A150" s="291" t="s">
        <v>1132</v>
      </c>
      <c r="B150" s="328">
        <v>45182</v>
      </c>
      <c r="C150" s="307" t="s">
        <v>162</v>
      </c>
      <c r="D150" s="292">
        <v>3500</v>
      </c>
      <c r="E150" s="293" t="s">
        <v>699</v>
      </c>
      <c r="F150" s="304" t="s">
        <v>217</v>
      </c>
      <c r="G150" s="294" t="s">
        <v>860</v>
      </c>
    </row>
    <row r="151" spans="1:7" s="250" customFormat="1" ht="13.5" hidden="1" customHeight="1" outlineLevel="1" x14ac:dyDescent="0.25">
      <c r="A151" s="291" t="s">
        <v>978</v>
      </c>
      <c r="B151" s="328">
        <v>45187</v>
      </c>
      <c r="C151" s="307" t="s">
        <v>1109</v>
      </c>
      <c r="D151" s="292"/>
      <c r="E151" s="293"/>
      <c r="F151" s="304"/>
      <c r="G151" s="294"/>
    </row>
    <row r="152" spans="1:7" s="250" customFormat="1" ht="13.5" hidden="1" customHeight="1" outlineLevel="1" x14ac:dyDescent="0.25">
      <c r="A152" s="291" t="s">
        <v>1113</v>
      </c>
      <c r="B152" s="328">
        <v>45189</v>
      </c>
      <c r="C152" s="307" t="s">
        <v>319</v>
      </c>
      <c r="D152" s="292">
        <v>3500</v>
      </c>
      <c r="E152" s="293" t="s">
        <v>1043</v>
      </c>
      <c r="F152" s="304" t="s">
        <v>217</v>
      </c>
      <c r="G152" s="294" t="s">
        <v>1082</v>
      </c>
    </row>
    <row r="153" spans="1:7" s="250" customFormat="1" ht="13.5" hidden="1" customHeight="1" outlineLevel="1" x14ac:dyDescent="0.25">
      <c r="A153" s="291" t="s">
        <v>975</v>
      </c>
      <c r="B153" s="333">
        <v>45190</v>
      </c>
      <c r="C153" s="309" t="s">
        <v>1169</v>
      </c>
      <c r="D153" s="292">
        <f>E353+E354</f>
        <v>8500</v>
      </c>
      <c r="E153" s="293" t="s">
        <v>1170</v>
      </c>
      <c r="F153" s="304" t="s">
        <v>217</v>
      </c>
      <c r="G153" s="294"/>
    </row>
    <row r="154" spans="1:7" s="250" customFormat="1" ht="13.5" hidden="1" customHeight="1" outlineLevel="1" x14ac:dyDescent="0.25">
      <c r="A154" s="291" t="s">
        <v>988</v>
      </c>
      <c r="B154" s="328">
        <v>45195</v>
      </c>
      <c r="C154" s="307" t="s">
        <v>1287</v>
      </c>
      <c r="D154" s="292"/>
      <c r="E154" s="293"/>
      <c r="F154" s="304"/>
      <c r="G154" s="294" t="s">
        <v>309</v>
      </c>
    </row>
    <row r="155" spans="1:7" s="250" customFormat="1" ht="13.5" hidden="1" customHeight="1" outlineLevel="1" x14ac:dyDescent="0.25">
      <c r="A155" s="291" t="s">
        <v>1184</v>
      </c>
      <c r="B155" s="328">
        <v>45197</v>
      </c>
      <c r="C155" s="307" t="s">
        <v>179</v>
      </c>
      <c r="D155" s="292">
        <v>3500</v>
      </c>
      <c r="E155" s="293" t="s">
        <v>1040</v>
      </c>
      <c r="F155" s="304" t="s">
        <v>217</v>
      </c>
      <c r="G155" s="294" t="s">
        <v>309</v>
      </c>
    </row>
    <row r="156" spans="1:7" s="250" customFormat="1" ht="13.5" hidden="1" customHeight="1" outlineLevel="1" x14ac:dyDescent="0.25">
      <c r="A156" s="291" t="s">
        <v>979</v>
      </c>
      <c r="B156" s="328">
        <v>45201</v>
      </c>
      <c r="C156" s="307" t="s">
        <v>1218</v>
      </c>
      <c r="D156" s="292">
        <v>25000</v>
      </c>
      <c r="E156" s="293" t="s">
        <v>1040</v>
      </c>
      <c r="F156" s="304" t="s">
        <v>217</v>
      </c>
      <c r="G156" s="294"/>
    </row>
    <row r="157" spans="1:7" s="250" customFormat="1" ht="13.5" hidden="1" customHeight="1" outlineLevel="1" x14ac:dyDescent="0.25">
      <c r="A157" s="291" t="s">
        <v>980</v>
      </c>
      <c r="B157" s="328">
        <v>45204</v>
      </c>
      <c r="C157" s="307" t="s">
        <v>1185</v>
      </c>
      <c r="D157" s="292">
        <v>3500</v>
      </c>
      <c r="E157" s="293" t="s">
        <v>1198</v>
      </c>
      <c r="F157" s="304" t="s">
        <v>217</v>
      </c>
      <c r="G157" s="294"/>
    </row>
    <row r="158" spans="1:7" s="250" customFormat="1" ht="13.5" hidden="1" customHeight="1" outlineLevel="1" x14ac:dyDescent="0.25">
      <c r="A158" s="291" t="s">
        <v>990</v>
      </c>
      <c r="B158" s="328">
        <v>45210</v>
      </c>
      <c r="C158" s="307" t="s">
        <v>1186</v>
      </c>
      <c r="D158" s="292"/>
      <c r="E158" s="293"/>
      <c r="F158" s="304"/>
      <c r="G158" s="294" t="s">
        <v>309</v>
      </c>
    </row>
    <row r="159" spans="1:7" s="250" customFormat="1" ht="13.5" hidden="1" customHeight="1" outlineLevel="1" x14ac:dyDescent="0.25">
      <c r="A159" s="291" t="s">
        <v>1219</v>
      </c>
      <c r="B159" s="328">
        <v>45211</v>
      </c>
      <c r="C159" s="307" t="s">
        <v>1288</v>
      </c>
      <c r="D159" s="292"/>
      <c r="E159" s="293"/>
      <c r="F159" s="304"/>
      <c r="G159" s="294" t="s">
        <v>1082</v>
      </c>
    </row>
    <row r="160" spans="1:7" s="250" customFormat="1" ht="13.5" hidden="1" customHeight="1" outlineLevel="1" x14ac:dyDescent="0.25">
      <c r="A160" s="291" t="s">
        <v>984</v>
      </c>
      <c r="B160" s="328">
        <v>45217</v>
      </c>
      <c r="C160" s="307" t="s">
        <v>179</v>
      </c>
      <c r="D160" s="292"/>
      <c r="E160" s="293"/>
      <c r="F160" s="304"/>
      <c r="G160" s="294"/>
    </row>
    <row r="161" spans="1:7" s="250" customFormat="1" ht="13.5" hidden="1" customHeight="1" outlineLevel="1" x14ac:dyDescent="0.25">
      <c r="A161" s="291" t="s">
        <v>983</v>
      </c>
      <c r="B161" s="328">
        <v>45222</v>
      </c>
      <c r="C161" s="307" t="s">
        <v>1109</v>
      </c>
      <c r="D161" s="292"/>
      <c r="E161" s="293"/>
      <c r="F161" s="304"/>
      <c r="G161" s="294"/>
    </row>
    <row r="162" spans="1:7" s="250" customFormat="1" ht="13.5" hidden="1" customHeight="1" outlineLevel="1" x14ac:dyDescent="0.25">
      <c r="A162" s="291" t="s">
        <v>992</v>
      </c>
      <c r="B162" s="333">
        <v>45225</v>
      </c>
      <c r="C162" s="74" t="s">
        <v>1187</v>
      </c>
      <c r="D162" s="292">
        <f>E251</f>
        <v>32500</v>
      </c>
      <c r="E162" s="293"/>
      <c r="F162" s="304"/>
      <c r="G162" s="294" t="s">
        <v>1064</v>
      </c>
    </row>
    <row r="163" spans="1:7" s="250" customFormat="1" hidden="1" outlineLevel="1" x14ac:dyDescent="0.25">
      <c r="A163" s="291" t="s">
        <v>859</v>
      </c>
      <c r="B163" s="431">
        <v>45225</v>
      </c>
      <c r="C163" s="432" t="s">
        <v>1114</v>
      </c>
      <c r="D163" s="334">
        <v>5000</v>
      </c>
      <c r="E163" s="293" t="s">
        <v>793</v>
      </c>
      <c r="F163" s="304" t="s">
        <v>217</v>
      </c>
      <c r="G163" s="294" t="s">
        <v>860</v>
      </c>
    </row>
    <row r="164" spans="1:7" s="250" customFormat="1" ht="13.5" hidden="1" customHeight="1" outlineLevel="1" x14ac:dyDescent="0.25">
      <c r="A164" s="291" t="s">
        <v>986</v>
      </c>
      <c r="B164" s="328">
        <v>45231</v>
      </c>
      <c r="C164" s="307" t="s">
        <v>179</v>
      </c>
      <c r="D164" s="292"/>
      <c r="E164" s="293"/>
      <c r="F164" s="304"/>
      <c r="G164" s="294"/>
    </row>
    <row r="165" spans="1:7" s="250" customFormat="1" ht="13.5" hidden="1" customHeight="1" outlineLevel="1" x14ac:dyDescent="0.25">
      <c r="A165" s="291" t="s">
        <v>1116</v>
      </c>
      <c r="B165" s="328">
        <v>45231</v>
      </c>
      <c r="C165" s="309" t="s">
        <v>162</v>
      </c>
      <c r="D165" s="292">
        <v>3500</v>
      </c>
      <c r="E165" s="293" t="s">
        <v>930</v>
      </c>
      <c r="F165" s="304" t="s">
        <v>217</v>
      </c>
      <c r="G165" s="294" t="s">
        <v>860</v>
      </c>
    </row>
    <row r="166" spans="1:7" s="250" customFormat="1" ht="13.5" hidden="1" customHeight="1" outlineLevel="1" x14ac:dyDescent="0.25">
      <c r="A166" s="291" t="s">
        <v>1134</v>
      </c>
      <c r="B166" s="433">
        <v>45232</v>
      </c>
      <c r="C166" s="554" t="s">
        <v>1319</v>
      </c>
      <c r="D166" s="292">
        <v>8500</v>
      </c>
      <c r="E166" s="555" t="s">
        <v>1320</v>
      </c>
      <c r="F166" s="304" t="s">
        <v>217</v>
      </c>
      <c r="G166" s="294" t="s">
        <v>1082</v>
      </c>
    </row>
    <row r="167" spans="1:7" s="250" customFormat="1" ht="13.5" hidden="1" customHeight="1" outlineLevel="1" x14ac:dyDescent="0.25">
      <c r="A167" s="291" t="s">
        <v>985</v>
      </c>
      <c r="B167" s="333">
        <v>45236</v>
      </c>
      <c r="C167" s="554" t="s">
        <v>1109</v>
      </c>
      <c r="D167" s="292"/>
      <c r="E167" s="293"/>
      <c r="F167" s="304"/>
      <c r="G167" s="294" t="s">
        <v>309</v>
      </c>
    </row>
    <row r="168" spans="1:7" s="250" customFormat="1" ht="13.5" hidden="1" customHeight="1" outlineLevel="1" x14ac:dyDescent="0.25">
      <c r="A168" s="291" t="s">
        <v>993</v>
      </c>
      <c r="B168" s="328">
        <v>45243</v>
      </c>
      <c r="C168" s="307" t="s">
        <v>316</v>
      </c>
      <c r="D168" s="292"/>
      <c r="E168" s="293"/>
      <c r="F168" s="304"/>
      <c r="G168" s="294" t="s">
        <v>309</v>
      </c>
    </row>
    <row r="169" spans="1:7" s="250" customFormat="1" ht="13.5" hidden="1" customHeight="1" outlineLevel="1" x14ac:dyDescent="0.25">
      <c r="A169" s="291" t="s">
        <v>989</v>
      </c>
      <c r="B169" s="328">
        <v>45245</v>
      </c>
      <c r="C169" s="307" t="s">
        <v>179</v>
      </c>
      <c r="D169" s="292"/>
      <c r="E169" s="293"/>
      <c r="F169" s="304"/>
      <c r="G169" s="294" t="s">
        <v>309</v>
      </c>
    </row>
    <row r="170" spans="1:7" s="250" customFormat="1" ht="13.5" hidden="1" customHeight="1" outlineLevel="1" x14ac:dyDescent="0.25">
      <c r="A170" s="291" t="s">
        <v>1171</v>
      </c>
      <c r="B170" s="328">
        <v>45264</v>
      </c>
      <c r="C170" s="307" t="s">
        <v>179</v>
      </c>
      <c r="D170" s="292"/>
      <c r="E170" s="293"/>
      <c r="F170" s="304"/>
      <c r="G170" s="294" t="s">
        <v>309</v>
      </c>
    </row>
    <row r="171" spans="1:7" s="250" customFormat="1" ht="13.5" hidden="1" customHeight="1" outlineLevel="1" x14ac:dyDescent="0.25">
      <c r="A171" s="291" t="s">
        <v>991</v>
      </c>
      <c r="B171" s="328">
        <v>45266</v>
      </c>
      <c r="C171" s="554" t="s">
        <v>1412</v>
      </c>
      <c r="D171" s="292">
        <v>3500</v>
      </c>
      <c r="E171" s="555" t="s">
        <v>1375</v>
      </c>
      <c r="F171" s="304" t="s">
        <v>217</v>
      </c>
      <c r="G171" s="294" t="s">
        <v>309</v>
      </c>
    </row>
    <row r="172" spans="1:7" s="250" customFormat="1" ht="13.5" hidden="1" customHeight="1" outlineLevel="1" x14ac:dyDescent="0.25">
      <c r="A172" s="56" t="s">
        <v>1115</v>
      </c>
      <c r="B172" s="328">
        <v>45267</v>
      </c>
      <c r="C172" s="307" t="s">
        <v>1155</v>
      </c>
      <c r="D172" s="292">
        <v>5000</v>
      </c>
      <c r="E172" s="293" t="s">
        <v>1225</v>
      </c>
      <c r="F172" s="304" t="s">
        <v>215</v>
      </c>
      <c r="G172" s="294" t="s">
        <v>860</v>
      </c>
    </row>
    <row r="173" spans="1:7" s="250" customFormat="1" ht="13.5" hidden="1" customHeight="1" outlineLevel="1" x14ac:dyDescent="0.25">
      <c r="A173" s="556" t="s">
        <v>1364</v>
      </c>
      <c r="B173" s="333">
        <v>45271</v>
      </c>
      <c r="C173" s="554" t="s">
        <v>1109</v>
      </c>
      <c r="D173" s="292"/>
      <c r="E173" s="293"/>
      <c r="F173" s="304"/>
      <c r="G173" s="294" t="s">
        <v>309</v>
      </c>
    </row>
    <row r="174" spans="1:7" s="250" customFormat="1" ht="13.5" hidden="1" customHeight="1" outlineLevel="1" x14ac:dyDescent="0.25">
      <c r="A174" s="291" t="s">
        <v>994</v>
      </c>
      <c r="B174" s="328">
        <v>45272</v>
      </c>
      <c r="C174" s="307" t="s">
        <v>1393</v>
      </c>
      <c r="D174" s="292">
        <v>3500</v>
      </c>
      <c r="E174" s="461" t="s">
        <v>938</v>
      </c>
      <c r="F174" s="304" t="s">
        <v>217</v>
      </c>
      <c r="G174" s="294" t="s">
        <v>1082</v>
      </c>
    </row>
    <row r="175" spans="1:7" s="250" customFormat="1" hidden="1" outlineLevel="1" x14ac:dyDescent="0.25">
      <c r="A175" s="318" t="s">
        <v>889</v>
      </c>
      <c r="B175" s="319"/>
      <c r="C175" s="249"/>
      <c r="D175" s="320">
        <f>SUM(D130:D174)</f>
        <v>160000</v>
      </c>
      <c r="E175" s="293"/>
      <c r="F175" s="293"/>
      <c r="G175" s="321"/>
    </row>
    <row r="176" spans="1:7" s="250" customFormat="1" hidden="1" outlineLevel="1" x14ac:dyDescent="0.25"/>
    <row r="177" spans="1:7" s="250" customFormat="1" ht="18.75" collapsed="1" x14ac:dyDescent="0.3">
      <c r="A177" s="322" t="s">
        <v>1172</v>
      </c>
      <c r="B177" s="323"/>
      <c r="C177" s="324"/>
      <c r="D177" s="325"/>
      <c r="E177" s="326"/>
      <c r="F177" s="326"/>
      <c r="G177" s="327"/>
    </row>
    <row r="178" spans="1:7" s="250" customFormat="1" ht="13.5" customHeight="1" x14ac:dyDescent="0.25">
      <c r="A178" s="472" t="s">
        <v>1321</v>
      </c>
      <c r="B178" s="557">
        <v>45309</v>
      </c>
      <c r="C178" s="473" t="s">
        <v>1413</v>
      </c>
      <c r="D178" s="474" t="s">
        <v>1414</v>
      </c>
      <c r="E178" s="475"/>
      <c r="F178" s="476"/>
      <c r="G178" s="477" t="s">
        <v>1082</v>
      </c>
    </row>
    <row r="179" spans="1:7" s="250" customFormat="1" x14ac:dyDescent="0.25">
      <c r="A179" s="56" t="s">
        <v>1366</v>
      </c>
      <c r="B179" s="558">
        <v>45321</v>
      </c>
      <c r="C179" s="554" t="s">
        <v>1456</v>
      </c>
      <c r="D179" s="292"/>
      <c r="E179" s="293" t="s">
        <v>1367</v>
      </c>
      <c r="F179" s="304"/>
      <c r="G179" s="478" t="s">
        <v>1082</v>
      </c>
    </row>
    <row r="180" spans="1:7" s="250" customFormat="1" ht="13.5" customHeight="1" x14ac:dyDescent="0.25">
      <c r="A180" s="479" t="s">
        <v>1323</v>
      </c>
      <c r="B180" s="557">
        <v>45329</v>
      </c>
      <c r="C180" s="473" t="s">
        <v>1457</v>
      </c>
      <c r="D180" s="292">
        <v>3500</v>
      </c>
      <c r="E180" s="559" t="s">
        <v>1458</v>
      </c>
      <c r="F180" s="476" t="s">
        <v>215</v>
      </c>
      <c r="G180" s="477" t="s">
        <v>1082</v>
      </c>
    </row>
    <row r="181" spans="1:7" s="250" customFormat="1" ht="13.5" customHeight="1" x14ac:dyDescent="0.25">
      <c r="A181" s="560" t="s">
        <v>1415</v>
      </c>
      <c r="B181" s="557">
        <v>45343</v>
      </c>
      <c r="C181" s="473" t="s">
        <v>1416</v>
      </c>
      <c r="D181" s="334">
        <v>2500</v>
      </c>
      <c r="E181" s="559" t="s">
        <v>1375</v>
      </c>
      <c r="F181" s="476" t="s">
        <v>217</v>
      </c>
      <c r="G181" s="477" t="s">
        <v>309</v>
      </c>
    </row>
    <row r="182" spans="1:7" s="250" customFormat="1" ht="13.5" customHeight="1" x14ac:dyDescent="0.25">
      <c r="A182" s="560" t="s">
        <v>1368</v>
      </c>
      <c r="B182" s="557">
        <v>45351</v>
      </c>
      <c r="C182" s="473" t="s">
        <v>1459</v>
      </c>
      <c r="D182" s="292">
        <v>3500</v>
      </c>
      <c r="E182" s="559" t="s">
        <v>911</v>
      </c>
      <c r="F182" s="476" t="s">
        <v>217</v>
      </c>
      <c r="G182" s="477" t="s">
        <v>860</v>
      </c>
    </row>
    <row r="183" spans="1:7" s="250" customFormat="1" ht="13.5" customHeight="1" x14ac:dyDescent="0.25">
      <c r="A183" s="560" t="s">
        <v>1418</v>
      </c>
      <c r="B183" s="557">
        <v>45358</v>
      </c>
      <c r="C183" s="480" t="s">
        <v>1326</v>
      </c>
      <c r="D183" s="292">
        <v>3500</v>
      </c>
      <c r="E183" s="475" t="s">
        <v>1301</v>
      </c>
      <c r="F183" s="476" t="s">
        <v>217</v>
      </c>
      <c r="G183" s="477" t="s">
        <v>860</v>
      </c>
    </row>
    <row r="184" spans="1:7" s="250" customFormat="1" ht="13.5" customHeight="1" x14ac:dyDescent="0.25">
      <c r="A184" s="560" t="s">
        <v>1420</v>
      </c>
      <c r="B184" s="557">
        <v>45371</v>
      </c>
      <c r="C184" s="473" t="s">
        <v>1421</v>
      </c>
      <c r="D184" s="292">
        <v>3500</v>
      </c>
      <c r="E184" s="559" t="s">
        <v>1359</v>
      </c>
      <c r="F184" s="476" t="s">
        <v>217</v>
      </c>
      <c r="G184" s="477" t="s">
        <v>1082</v>
      </c>
    </row>
    <row r="185" spans="1:7" s="250" customFormat="1" ht="13.5" customHeight="1" x14ac:dyDescent="0.25">
      <c r="A185" s="560" t="s">
        <v>1419</v>
      </c>
      <c r="B185" s="557">
        <v>45376</v>
      </c>
      <c r="C185" s="473" t="s">
        <v>1460</v>
      </c>
      <c r="D185" s="292"/>
      <c r="E185" s="475"/>
      <c r="F185" s="476"/>
      <c r="G185" s="477" t="s">
        <v>309</v>
      </c>
    </row>
    <row r="186" spans="1:7" s="250" customFormat="1" ht="13.5" customHeight="1" x14ac:dyDescent="0.25">
      <c r="A186" s="560" t="s">
        <v>1422</v>
      </c>
      <c r="B186" s="557">
        <v>45379</v>
      </c>
      <c r="C186" s="473" t="s">
        <v>1461</v>
      </c>
      <c r="D186" s="292">
        <f>2500+3500</f>
        <v>6000</v>
      </c>
      <c r="E186" s="559" t="s">
        <v>1462</v>
      </c>
      <c r="F186" s="476" t="s">
        <v>1463</v>
      </c>
      <c r="G186" s="477" t="s">
        <v>1082</v>
      </c>
    </row>
    <row r="187" spans="1:7" s="250" customFormat="1" ht="13.5" customHeight="1" x14ac:dyDescent="0.25">
      <c r="A187" s="560" t="s">
        <v>1464</v>
      </c>
      <c r="B187" s="557" t="s">
        <v>1369</v>
      </c>
      <c r="C187" s="473" t="s">
        <v>1465</v>
      </c>
      <c r="D187" s="292"/>
      <c r="E187" s="475"/>
      <c r="F187" s="476"/>
      <c r="G187" s="477" t="s">
        <v>309</v>
      </c>
    </row>
    <row r="188" spans="1:7" s="250" customFormat="1" ht="13.5" customHeight="1" x14ac:dyDescent="0.25">
      <c r="A188" s="472" t="s">
        <v>1423</v>
      </c>
      <c r="B188" s="557">
        <v>45392</v>
      </c>
      <c r="C188" s="473" t="s">
        <v>1466</v>
      </c>
      <c r="D188" s="292"/>
      <c r="E188" s="475"/>
      <c r="F188" s="476"/>
      <c r="G188" s="477" t="s">
        <v>309</v>
      </c>
    </row>
    <row r="189" spans="1:7" s="250" customFormat="1" ht="13.5" customHeight="1" x14ac:dyDescent="0.25">
      <c r="A189" s="472" t="s">
        <v>1328</v>
      </c>
      <c r="B189" s="557">
        <v>45405</v>
      </c>
      <c r="C189" s="473"/>
      <c r="D189" s="292" t="s">
        <v>1554</v>
      </c>
      <c r="E189" s="475"/>
      <c r="F189" s="476"/>
      <c r="G189" s="477" t="s">
        <v>1325</v>
      </c>
    </row>
    <row r="190" spans="1:7" s="250" customFormat="1" ht="13.5" customHeight="1" x14ac:dyDescent="0.25">
      <c r="A190" s="607" t="s">
        <v>1327</v>
      </c>
      <c r="B190" s="433">
        <v>45412</v>
      </c>
      <c r="C190" s="473" t="s">
        <v>1467</v>
      </c>
      <c r="D190" s="292">
        <v>3500</v>
      </c>
      <c r="E190" s="475" t="s">
        <v>1352</v>
      </c>
      <c r="F190" s="476" t="s">
        <v>217</v>
      </c>
      <c r="G190" s="477" t="s">
        <v>860</v>
      </c>
    </row>
    <row r="191" spans="1:7" s="250" customFormat="1" ht="13.5" customHeight="1" x14ac:dyDescent="0.25">
      <c r="A191" s="560" t="s">
        <v>1370</v>
      </c>
      <c r="B191" s="557">
        <v>45421</v>
      </c>
      <c r="C191" s="473" t="s">
        <v>1555</v>
      </c>
      <c r="D191" s="292" t="s">
        <v>1554</v>
      </c>
      <c r="E191" s="475"/>
      <c r="F191" s="476"/>
      <c r="G191" s="477" t="s">
        <v>860</v>
      </c>
    </row>
    <row r="192" spans="1:7" s="250" customFormat="1" ht="13.5" customHeight="1" x14ac:dyDescent="0.25">
      <c r="A192" s="434" t="s">
        <v>1424</v>
      </c>
      <c r="B192" s="562">
        <v>45455</v>
      </c>
      <c r="C192" s="435" t="s">
        <v>1466</v>
      </c>
      <c r="D192" s="314"/>
      <c r="E192" s="436"/>
      <c r="F192" s="437"/>
      <c r="G192" s="438"/>
    </row>
    <row r="193" spans="1:7" s="250" customFormat="1" x14ac:dyDescent="0.25">
      <c r="A193" s="561" t="s">
        <v>1547</v>
      </c>
      <c r="B193" s="343">
        <v>45456</v>
      </c>
      <c r="C193" s="435" t="s">
        <v>1598</v>
      </c>
      <c r="D193" s="314">
        <v>3500</v>
      </c>
      <c r="E193" s="647" t="s">
        <v>1117</v>
      </c>
      <c r="F193" s="437" t="s">
        <v>217</v>
      </c>
      <c r="G193" s="438" t="s">
        <v>1082</v>
      </c>
    </row>
    <row r="194" spans="1:7" s="250" customFormat="1" ht="13.5" customHeight="1" x14ac:dyDescent="0.25">
      <c r="A194" s="434" t="s">
        <v>1329</v>
      </c>
      <c r="B194" s="562">
        <v>45468</v>
      </c>
      <c r="C194" s="435" t="s">
        <v>1599</v>
      </c>
      <c r="D194" s="314">
        <v>3500</v>
      </c>
      <c r="E194" s="436" t="s">
        <v>1539</v>
      </c>
      <c r="F194" s="437" t="s">
        <v>217</v>
      </c>
      <c r="G194" s="438" t="s">
        <v>309</v>
      </c>
    </row>
    <row r="195" spans="1:7" s="250" customFormat="1" x14ac:dyDescent="0.25">
      <c r="A195" s="561" t="s">
        <v>1600</v>
      </c>
      <c r="B195" s="343">
        <v>45496</v>
      </c>
      <c r="C195" s="435" t="s">
        <v>1601</v>
      </c>
      <c r="D195" s="314">
        <v>2000</v>
      </c>
      <c r="E195" s="647" t="s">
        <v>1481</v>
      </c>
      <c r="F195" s="437"/>
      <c r="G195" s="438"/>
    </row>
    <row r="196" spans="1:7" s="250" customFormat="1" ht="13.5" customHeight="1" x14ac:dyDescent="0.25">
      <c r="A196" s="561" t="s">
        <v>1425</v>
      </c>
      <c r="B196" s="562">
        <v>45519</v>
      </c>
      <c r="C196" s="435" t="s">
        <v>1469</v>
      </c>
      <c r="D196" s="314">
        <v>3500</v>
      </c>
      <c r="E196" s="436" t="s">
        <v>1205</v>
      </c>
      <c r="F196" s="437" t="s">
        <v>217</v>
      </c>
      <c r="G196" s="438"/>
    </row>
    <row r="197" spans="1:7" s="250" customFormat="1" ht="13.5" customHeight="1" x14ac:dyDescent="0.25">
      <c r="A197" s="573" t="s">
        <v>1548</v>
      </c>
      <c r="B197" s="562">
        <v>45526</v>
      </c>
      <c r="C197" s="435" t="s">
        <v>1470</v>
      </c>
      <c r="D197" s="314">
        <v>3500</v>
      </c>
      <c r="E197" s="436" t="s">
        <v>1360</v>
      </c>
      <c r="F197" s="437" t="s">
        <v>217</v>
      </c>
      <c r="G197" s="438" t="s">
        <v>309</v>
      </c>
    </row>
    <row r="198" spans="1:7" s="250" customFormat="1" ht="13.5" customHeight="1" x14ac:dyDescent="0.25">
      <c r="A198" s="648" t="s">
        <v>1602</v>
      </c>
      <c r="B198" s="649">
        <v>45530</v>
      </c>
      <c r="C198" s="435" t="s">
        <v>1603</v>
      </c>
      <c r="D198" s="650" t="s">
        <v>1554</v>
      </c>
      <c r="E198" s="436"/>
      <c r="F198" s="437"/>
      <c r="G198" s="438" t="s">
        <v>309</v>
      </c>
    </row>
    <row r="199" spans="1:7" s="250" customFormat="1" ht="13.5" customHeight="1" x14ac:dyDescent="0.25">
      <c r="A199" s="561" t="s">
        <v>1426</v>
      </c>
      <c r="B199" s="343" t="s">
        <v>1332</v>
      </c>
      <c r="C199" s="435" t="s">
        <v>1604</v>
      </c>
      <c r="D199" s="314"/>
      <c r="E199" s="436"/>
      <c r="F199" s="437"/>
      <c r="G199" s="438" t="s">
        <v>1325</v>
      </c>
    </row>
    <row r="200" spans="1:7" s="250" customFormat="1" ht="13.5" customHeight="1" x14ac:dyDescent="0.25">
      <c r="A200" s="434" t="s">
        <v>1331</v>
      </c>
      <c r="B200" s="343">
        <v>45545</v>
      </c>
      <c r="C200" s="435" t="s">
        <v>1605</v>
      </c>
      <c r="D200" s="314">
        <v>3500</v>
      </c>
      <c r="E200" s="563" t="s">
        <v>1477</v>
      </c>
      <c r="F200" s="437"/>
      <c r="G200" s="438" t="s">
        <v>1082</v>
      </c>
    </row>
    <row r="201" spans="1:7" s="250" customFormat="1" ht="13.5" customHeight="1" x14ac:dyDescent="0.25">
      <c r="A201" s="648" t="s">
        <v>1606</v>
      </c>
      <c r="B201" s="649">
        <v>45551</v>
      </c>
      <c r="C201" s="435" t="s">
        <v>1603</v>
      </c>
      <c r="D201" s="650" t="s">
        <v>1554</v>
      </c>
      <c r="E201" s="563"/>
      <c r="F201" s="437"/>
      <c r="G201" s="438"/>
    </row>
    <row r="202" spans="1:7" s="250" customFormat="1" ht="13.5" customHeight="1" x14ac:dyDescent="0.25">
      <c r="A202" s="434" t="s">
        <v>1335</v>
      </c>
      <c r="B202" s="343">
        <v>45553</v>
      </c>
      <c r="C202" s="435"/>
      <c r="D202" s="314"/>
      <c r="E202" s="436"/>
      <c r="F202" s="437"/>
      <c r="G202" s="438" t="s">
        <v>1082</v>
      </c>
    </row>
    <row r="203" spans="1:7" s="250" customFormat="1" ht="13.5" customHeight="1" x14ac:dyDescent="0.25">
      <c r="A203" s="561" t="s">
        <v>1607</v>
      </c>
      <c r="B203" s="343">
        <v>45559</v>
      </c>
      <c r="C203" s="435" t="s">
        <v>1601</v>
      </c>
      <c r="D203" s="314"/>
      <c r="E203" s="436"/>
      <c r="F203" s="437"/>
      <c r="G203" s="438"/>
    </row>
    <row r="204" spans="1:7" s="250" customFormat="1" ht="13.5" customHeight="1" x14ac:dyDescent="0.25">
      <c r="A204" s="561" t="s">
        <v>1365</v>
      </c>
      <c r="B204" s="562" t="s">
        <v>1556</v>
      </c>
      <c r="C204" s="435" t="s">
        <v>1468</v>
      </c>
      <c r="D204" s="314"/>
      <c r="E204" s="563" t="s">
        <v>1550</v>
      </c>
      <c r="F204" s="437"/>
      <c r="G204" s="438" t="s">
        <v>1082</v>
      </c>
    </row>
    <row r="205" spans="1:7" s="250" customFormat="1" ht="13.5" customHeight="1" x14ac:dyDescent="0.25">
      <c r="A205" s="434" t="s">
        <v>1330</v>
      </c>
      <c r="B205" s="562" t="s">
        <v>1332</v>
      </c>
      <c r="C205" s="435"/>
      <c r="D205" s="314"/>
      <c r="E205" s="436"/>
      <c r="F205" s="437"/>
      <c r="G205" s="438" t="s">
        <v>1325</v>
      </c>
    </row>
    <row r="206" spans="1:7" s="250" customFormat="1" ht="13.5" customHeight="1" x14ac:dyDescent="0.25">
      <c r="A206" s="561" t="s">
        <v>354</v>
      </c>
      <c r="B206" s="343"/>
      <c r="C206" s="435" t="s">
        <v>1608</v>
      </c>
      <c r="D206" s="314"/>
      <c r="E206" s="436"/>
      <c r="F206" s="437"/>
      <c r="G206" s="438"/>
    </row>
    <row r="207" spans="1:7" s="250" customFormat="1" ht="13.5" customHeight="1" x14ac:dyDescent="0.25">
      <c r="A207" s="434" t="s">
        <v>1371</v>
      </c>
      <c r="B207" s="343" t="s">
        <v>1372</v>
      </c>
      <c r="C207" s="435"/>
      <c r="D207" s="314"/>
      <c r="E207" s="436"/>
      <c r="F207" s="437"/>
      <c r="G207" s="438" t="s">
        <v>309</v>
      </c>
    </row>
    <row r="208" spans="1:7" s="250" customFormat="1" ht="13.5" customHeight="1" x14ac:dyDescent="0.25">
      <c r="A208" s="648" t="s">
        <v>1609</v>
      </c>
      <c r="B208" s="649">
        <v>45572</v>
      </c>
      <c r="C208" s="435" t="s">
        <v>1603</v>
      </c>
      <c r="D208" s="650" t="s">
        <v>1554</v>
      </c>
      <c r="E208" s="436"/>
      <c r="F208" s="437"/>
      <c r="G208" s="438"/>
    </row>
    <row r="209" spans="1:8" s="250" customFormat="1" ht="13.5" customHeight="1" x14ac:dyDescent="0.25">
      <c r="A209" s="434" t="s">
        <v>1333</v>
      </c>
      <c r="B209" s="343" t="s">
        <v>1334</v>
      </c>
      <c r="C209" s="435" t="s">
        <v>458</v>
      </c>
      <c r="D209" s="314">
        <v>3500</v>
      </c>
      <c r="E209" s="436" t="s">
        <v>1315</v>
      </c>
      <c r="F209" s="437" t="s">
        <v>217</v>
      </c>
      <c r="G209" s="438" t="s">
        <v>1322</v>
      </c>
    </row>
    <row r="210" spans="1:8" s="250" customFormat="1" ht="13.5" customHeight="1" x14ac:dyDescent="0.25">
      <c r="A210" s="561" t="s">
        <v>1427</v>
      </c>
      <c r="B210" s="343" t="s">
        <v>1334</v>
      </c>
      <c r="C210" s="435"/>
      <c r="D210" s="314"/>
      <c r="E210" s="436"/>
      <c r="F210" s="437"/>
      <c r="G210" s="438" t="s">
        <v>1325</v>
      </c>
    </row>
    <row r="211" spans="1:8" s="250" customFormat="1" ht="13.5" customHeight="1" x14ac:dyDescent="0.25">
      <c r="A211" s="648" t="s">
        <v>1610</v>
      </c>
      <c r="B211" s="649">
        <v>45593</v>
      </c>
      <c r="C211" s="435" t="s">
        <v>1603</v>
      </c>
      <c r="D211" s="650" t="s">
        <v>1554</v>
      </c>
      <c r="E211" s="436"/>
      <c r="F211" s="437"/>
      <c r="G211" s="438"/>
    </row>
    <row r="212" spans="1:8" s="250" customFormat="1" ht="13.5" customHeight="1" x14ac:dyDescent="0.25">
      <c r="A212" s="561" t="s">
        <v>1611</v>
      </c>
      <c r="B212" s="343">
        <v>45602</v>
      </c>
      <c r="C212" s="435" t="s">
        <v>1601</v>
      </c>
      <c r="D212" s="314"/>
      <c r="E212" s="436"/>
      <c r="F212" s="437"/>
      <c r="G212" s="438"/>
    </row>
    <row r="213" spans="1:8" s="250" customFormat="1" ht="13.5" customHeight="1" x14ac:dyDescent="0.25">
      <c r="A213" s="648" t="s">
        <v>1612</v>
      </c>
      <c r="B213" s="649">
        <v>45614</v>
      </c>
      <c r="C213" s="435" t="s">
        <v>1603</v>
      </c>
      <c r="D213" s="650" t="s">
        <v>1554</v>
      </c>
      <c r="E213" s="436"/>
      <c r="F213" s="437"/>
      <c r="G213" s="438"/>
    </row>
    <row r="214" spans="1:8" s="250" customFormat="1" ht="13.5" customHeight="1" x14ac:dyDescent="0.25">
      <c r="A214" s="434" t="s">
        <v>1336</v>
      </c>
      <c r="B214" s="343" t="s">
        <v>1337</v>
      </c>
      <c r="C214" s="435" t="s">
        <v>1326</v>
      </c>
      <c r="D214" s="314">
        <v>3500</v>
      </c>
      <c r="E214" s="436" t="s">
        <v>1301</v>
      </c>
      <c r="F214" s="437" t="s">
        <v>217</v>
      </c>
      <c r="G214" s="438" t="s">
        <v>860</v>
      </c>
    </row>
    <row r="215" spans="1:8" s="250" customFormat="1" ht="13.5" customHeight="1" x14ac:dyDescent="0.25">
      <c r="A215" s="434" t="s">
        <v>1324</v>
      </c>
      <c r="B215" s="343" t="s">
        <v>1337</v>
      </c>
      <c r="C215" s="435"/>
      <c r="D215" s="314"/>
      <c r="E215" s="436"/>
      <c r="F215" s="437"/>
      <c r="G215" s="438" t="s">
        <v>1325</v>
      </c>
    </row>
    <row r="216" spans="1:8" s="250" customFormat="1" ht="13.5" customHeight="1" x14ac:dyDescent="0.25">
      <c r="A216" s="561" t="s">
        <v>1417</v>
      </c>
      <c r="B216" s="562" t="s">
        <v>1325</v>
      </c>
      <c r="C216" s="435"/>
      <c r="D216" s="314"/>
      <c r="E216" s="436"/>
      <c r="F216" s="437"/>
      <c r="G216" s="438" t="s">
        <v>860</v>
      </c>
    </row>
    <row r="217" spans="1:8" s="250" customFormat="1" ht="13.5" customHeight="1" x14ac:dyDescent="0.25">
      <c r="A217" s="561" t="s">
        <v>1373</v>
      </c>
      <c r="B217" s="343" t="s">
        <v>1338</v>
      </c>
      <c r="C217" s="435" t="s">
        <v>1155</v>
      </c>
      <c r="D217" s="314">
        <v>5000</v>
      </c>
      <c r="E217" s="563" t="s">
        <v>1471</v>
      </c>
      <c r="F217" s="437" t="s">
        <v>215</v>
      </c>
      <c r="G217" s="438" t="s">
        <v>1325</v>
      </c>
    </row>
    <row r="218" spans="1:8" s="250" customFormat="1" x14ac:dyDescent="0.25">
      <c r="A218" s="434" t="s">
        <v>1339</v>
      </c>
      <c r="B218" s="343" t="s">
        <v>1338</v>
      </c>
      <c r="C218" s="651" t="s">
        <v>1557</v>
      </c>
      <c r="D218" s="314">
        <v>3500</v>
      </c>
      <c r="E218" s="563" t="s">
        <v>937</v>
      </c>
      <c r="F218" s="437" t="s">
        <v>217</v>
      </c>
      <c r="G218" s="438" t="s">
        <v>1082</v>
      </c>
    </row>
    <row r="219" spans="1:8" s="250" customFormat="1" ht="13.5" customHeight="1" x14ac:dyDescent="0.25">
      <c r="A219" s="434"/>
      <c r="B219" s="343"/>
      <c r="C219" s="435"/>
      <c r="D219" s="314"/>
      <c r="E219" s="436"/>
      <c r="F219" s="437"/>
      <c r="G219" s="438"/>
    </row>
    <row r="220" spans="1:8" s="250" customFormat="1" ht="13.5" customHeight="1" x14ac:dyDescent="0.25">
      <c r="A220" s="346"/>
      <c r="B220" s="347"/>
      <c r="C220" s="204"/>
      <c r="D220" s="348"/>
      <c r="E220" s="345"/>
      <c r="F220" s="349"/>
      <c r="G220" s="350"/>
    </row>
    <row r="221" spans="1:8" s="250" customFormat="1" ht="15.75" thickBot="1" x14ac:dyDescent="0.3">
      <c r="A221" s="346"/>
      <c r="B221" s="351"/>
      <c r="C221" s="101"/>
      <c r="D221" s="348"/>
      <c r="E221" s="344"/>
      <c r="F221" s="345"/>
      <c r="G221" s="345"/>
      <c r="H221" s="350"/>
    </row>
    <row r="222" spans="1:8" ht="15.75" thickBot="1" x14ac:dyDescent="0.3">
      <c r="A222" s="352" t="s">
        <v>335</v>
      </c>
      <c r="B222" s="353" t="s">
        <v>336</v>
      </c>
      <c r="C222" s="353" t="s">
        <v>337</v>
      </c>
      <c r="D222" s="353" t="s">
        <v>143</v>
      </c>
      <c r="E222" s="353" t="s">
        <v>338</v>
      </c>
      <c r="F222" s="353" t="s">
        <v>339</v>
      </c>
      <c r="G222" s="608" t="s">
        <v>1135</v>
      </c>
      <c r="H222" s="163" t="s">
        <v>295</v>
      </c>
    </row>
    <row r="223" spans="1:8" x14ac:dyDescent="0.25">
      <c r="A223" s="163"/>
      <c r="B223" s="163"/>
      <c r="C223" s="163"/>
      <c r="D223" s="163"/>
      <c r="E223" s="163"/>
      <c r="G223" s="245"/>
    </row>
    <row r="224" spans="1:8" x14ac:dyDescent="0.25">
      <c r="A224" s="354" t="s">
        <v>340</v>
      </c>
      <c r="B224" s="163"/>
      <c r="C224" s="163"/>
      <c r="D224" s="396"/>
      <c r="E224" s="355"/>
      <c r="G224" s="356"/>
    </row>
    <row r="225" spans="1:7" s="204" customFormat="1" x14ac:dyDescent="0.25">
      <c r="A225" s="204" t="s">
        <v>1613</v>
      </c>
      <c r="B225" s="357">
        <v>44774</v>
      </c>
      <c r="C225" s="652" t="s">
        <v>1558</v>
      </c>
      <c r="D225" s="653" t="s">
        <v>937</v>
      </c>
      <c r="E225" s="358">
        <v>3500</v>
      </c>
      <c r="F225" s="359" t="s">
        <v>217</v>
      </c>
      <c r="G225" s="574" t="s">
        <v>1472</v>
      </c>
    </row>
    <row r="226" spans="1:7" x14ac:dyDescent="0.25">
      <c r="A226" s="101" t="s">
        <v>576</v>
      </c>
      <c r="B226" s="191">
        <v>45017</v>
      </c>
      <c r="C226" s="101" t="s">
        <v>1176</v>
      </c>
      <c r="D226" s="609" t="s">
        <v>1117</v>
      </c>
      <c r="E226" s="358">
        <v>3500</v>
      </c>
      <c r="F226" s="359" t="s">
        <v>217</v>
      </c>
      <c r="G226" s="574">
        <v>45456</v>
      </c>
    </row>
    <row r="227" spans="1:7" x14ac:dyDescent="0.25">
      <c r="A227" s="101" t="s">
        <v>905</v>
      </c>
      <c r="B227" s="191">
        <v>45139</v>
      </c>
      <c r="C227" s="101" t="s">
        <v>1220</v>
      </c>
      <c r="D227" s="609" t="s">
        <v>1205</v>
      </c>
      <c r="E227" s="358">
        <v>3500</v>
      </c>
      <c r="F227" s="359" t="s">
        <v>217</v>
      </c>
      <c r="G227" s="575">
        <v>45519</v>
      </c>
    </row>
    <row r="228" spans="1:7" x14ac:dyDescent="0.25">
      <c r="A228" s="101" t="s">
        <v>162</v>
      </c>
      <c r="B228" s="191">
        <v>45170</v>
      </c>
      <c r="C228" s="101" t="s">
        <v>1311</v>
      </c>
      <c r="D228" s="609" t="s">
        <v>1301</v>
      </c>
      <c r="E228" s="358">
        <v>3500</v>
      </c>
      <c r="F228" s="359" t="s">
        <v>217</v>
      </c>
      <c r="G228" s="574" t="s">
        <v>1551</v>
      </c>
    </row>
    <row r="229" spans="1:7" x14ac:dyDescent="0.25">
      <c r="A229" s="538" t="s">
        <v>458</v>
      </c>
      <c r="B229" s="191">
        <v>45231</v>
      </c>
      <c r="C229" s="538" t="s">
        <v>1549</v>
      </c>
      <c r="D229" s="609" t="s">
        <v>1315</v>
      </c>
      <c r="E229" s="358">
        <v>3500</v>
      </c>
      <c r="F229" s="359" t="s">
        <v>217</v>
      </c>
      <c r="G229" s="574" t="s">
        <v>1552</v>
      </c>
    </row>
    <row r="230" spans="1:7" x14ac:dyDescent="0.25">
      <c r="A230" s="538" t="s">
        <v>742</v>
      </c>
      <c r="B230" s="191">
        <v>45261</v>
      </c>
      <c r="C230" s="101" t="s">
        <v>1220</v>
      </c>
      <c r="D230" s="609" t="s">
        <v>1360</v>
      </c>
      <c r="E230" s="358">
        <v>3500</v>
      </c>
      <c r="F230" s="359" t="s">
        <v>217</v>
      </c>
      <c r="G230" s="574" t="s">
        <v>1614</v>
      </c>
    </row>
    <row r="231" spans="1:7" x14ac:dyDescent="0.25">
      <c r="A231" s="538" t="s">
        <v>156</v>
      </c>
      <c r="B231" s="568">
        <v>45323</v>
      </c>
      <c r="C231" s="538" t="s">
        <v>1628</v>
      </c>
      <c r="D231" s="609" t="s">
        <v>1481</v>
      </c>
      <c r="E231" s="358">
        <v>2000</v>
      </c>
      <c r="F231" s="359" t="s">
        <v>217</v>
      </c>
      <c r="G231" s="610">
        <v>45496</v>
      </c>
    </row>
    <row r="232" spans="1:7" x14ac:dyDescent="0.25">
      <c r="A232" s="538" t="s">
        <v>105</v>
      </c>
      <c r="B232" s="568">
        <v>45352</v>
      </c>
      <c r="C232" s="538" t="s">
        <v>1559</v>
      </c>
      <c r="D232" s="609" t="s">
        <v>1477</v>
      </c>
      <c r="E232" s="358">
        <v>3500</v>
      </c>
      <c r="F232" s="359" t="s">
        <v>217</v>
      </c>
      <c r="G232" s="574">
        <v>45545</v>
      </c>
    </row>
    <row r="233" spans="1:7" x14ac:dyDescent="0.25">
      <c r="A233" s="538" t="s">
        <v>580</v>
      </c>
      <c r="B233" s="191">
        <v>45383</v>
      </c>
      <c r="C233" s="538" t="s">
        <v>1560</v>
      </c>
      <c r="D233" s="609" t="s">
        <v>1539</v>
      </c>
      <c r="E233" s="358">
        <v>3500</v>
      </c>
      <c r="F233" s="359" t="s">
        <v>217</v>
      </c>
      <c r="G233" s="610">
        <v>45468</v>
      </c>
    </row>
    <row r="234" spans="1:7" x14ac:dyDescent="0.25">
      <c r="A234" s="538" t="s">
        <v>1561</v>
      </c>
      <c r="B234" s="191">
        <v>45383</v>
      </c>
      <c r="C234" s="538" t="s">
        <v>1615</v>
      </c>
      <c r="D234" s="611" t="s">
        <v>1563</v>
      </c>
      <c r="E234" s="363">
        <v>3500</v>
      </c>
      <c r="F234" s="364" t="s">
        <v>215</v>
      </c>
      <c r="G234" s="656"/>
    </row>
    <row r="235" spans="1:7" x14ac:dyDescent="0.25">
      <c r="A235" s="538" t="s">
        <v>1223</v>
      </c>
      <c r="B235" s="191">
        <v>45413</v>
      </c>
      <c r="C235" s="538" t="s">
        <v>1476</v>
      </c>
      <c r="D235" s="609" t="s">
        <v>1471</v>
      </c>
      <c r="E235" s="358">
        <v>5000</v>
      </c>
      <c r="F235" s="359" t="s">
        <v>217</v>
      </c>
      <c r="G235" s="574" t="s">
        <v>1472</v>
      </c>
    </row>
    <row r="236" spans="1:7" x14ac:dyDescent="0.25">
      <c r="A236" s="538" t="s">
        <v>925</v>
      </c>
      <c r="B236" s="191">
        <v>45413</v>
      </c>
      <c r="C236" s="538" t="s">
        <v>1562</v>
      </c>
      <c r="D236" s="611" t="s">
        <v>1616</v>
      </c>
      <c r="E236" s="363">
        <v>3500</v>
      </c>
      <c r="F236" s="364" t="s">
        <v>215</v>
      </c>
      <c r="G236" s="574"/>
    </row>
    <row r="237" spans="1:7" s="204" customFormat="1" x14ac:dyDescent="0.25">
      <c r="A237" s="204" t="s">
        <v>1617</v>
      </c>
      <c r="B237" s="357">
        <v>45433</v>
      </c>
      <c r="C237" s="204" t="s">
        <v>1618</v>
      </c>
      <c r="D237" s="416" t="s">
        <v>1619</v>
      </c>
      <c r="E237" s="363">
        <v>5000</v>
      </c>
      <c r="F237" s="364" t="s">
        <v>215</v>
      </c>
      <c r="G237" s="657"/>
    </row>
    <row r="238" spans="1:7" ht="22.5" customHeight="1" x14ac:dyDescent="0.25">
      <c r="B238" s="191"/>
      <c r="D238" s="397"/>
      <c r="E238" s="367">
        <f>SUM(E225:E237)</f>
        <v>47000</v>
      </c>
      <c r="F238" s="368"/>
      <c r="G238" s="356"/>
    </row>
    <row r="239" spans="1:7" ht="15" customHeight="1" x14ac:dyDescent="0.25">
      <c r="A239" s="354" t="s">
        <v>1620</v>
      </c>
      <c r="B239" s="191"/>
      <c r="D239" s="366"/>
      <c r="E239" s="363"/>
      <c r="F239" s="368"/>
      <c r="G239" s="356"/>
    </row>
    <row r="240" spans="1:7" x14ac:dyDescent="0.25">
      <c r="A240" s="101" t="s">
        <v>1156</v>
      </c>
      <c r="B240" s="191">
        <v>45170</v>
      </c>
      <c r="C240" s="538" t="s">
        <v>1621</v>
      </c>
      <c r="D240" s="611" t="s">
        <v>1222</v>
      </c>
      <c r="E240" s="358">
        <v>3500</v>
      </c>
      <c r="F240" s="359" t="s">
        <v>215</v>
      </c>
      <c r="G240" s="369" t="s">
        <v>1622</v>
      </c>
    </row>
    <row r="243" spans="1:7" ht="15.75" thickBot="1" x14ac:dyDescent="0.3">
      <c r="B243" s="191"/>
      <c r="C243" s="101" t="s">
        <v>882</v>
      </c>
      <c r="D243" s="370">
        <v>45445</v>
      </c>
      <c r="E243" s="371">
        <f>SUM(E238:E242)</f>
        <v>50500</v>
      </c>
      <c r="F243" s="372"/>
      <c r="G243" s="372"/>
    </row>
    <row r="244" spans="1:7" ht="15.75" thickTop="1" x14ac:dyDescent="0.25">
      <c r="B244" s="191"/>
      <c r="D244" s="373"/>
      <c r="E244" s="374"/>
    </row>
    <row r="245" spans="1:7" ht="15.75" thickBot="1" x14ac:dyDescent="0.3">
      <c r="B245" s="191"/>
      <c r="E245" s="375"/>
    </row>
    <row r="246" spans="1:7" s="195" customFormat="1" ht="16.5" thickBot="1" x14ac:dyDescent="0.3">
      <c r="A246" s="376" t="s">
        <v>761</v>
      </c>
      <c r="B246" s="377"/>
      <c r="C246" s="377"/>
      <c r="D246" s="377"/>
      <c r="E246" s="377"/>
      <c r="F246" s="378"/>
      <c r="G246" s="379" t="s">
        <v>201</v>
      </c>
    </row>
    <row r="247" spans="1:7" s="195" customFormat="1" ht="15.75" x14ac:dyDescent="0.25">
      <c r="D247" s="366"/>
      <c r="E247" s="564"/>
      <c r="G247" s="380"/>
    </row>
    <row r="248" spans="1:7" s="195" customFormat="1" ht="15.75" x14ac:dyDescent="0.25">
      <c r="A248" s="538" t="s">
        <v>458</v>
      </c>
      <c r="B248" s="191">
        <v>45261</v>
      </c>
      <c r="C248" s="245" t="s">
        <v>1430</v>
      </c>
      <c r="D248" s="565" t="s">
        <v>1431</v>
      </c>
      <c r="E248" s="564">
        <v>20000</v>
      </c>
      <c r="G248" s="380"/>
    </row>
    <row r="249" spans="1:7" s="195" customFormat="1" ht="15.75" x14ac:dyDescent="0.25">
      <c r="A249" s="538" t="s">
        <v>539</v>
      </c>
      <c r="B249" s="191">
        <v>45421</v>
      </c>
      <c r="C249" s="245" t="s">
        <v>1623</v>
      </c>
      <c r="D249" s="565" t="s">
        <v>1624</v>
      </c>
      <c r="E249" s="564">
        <v>2500</v>
      </c>
      <c r="G249" s="380"/>
    </row>
    <row r="250" spans="1:7" s="195" customFormat="1" ht="15.75" x14ac:dyDescent="0.25">
      <c r="A250" s="538" t="s">
        <v>1590</v>
      </c>
      <c r="B250" s="191">
        <v>45428</v>
      </c>
      <c r="C250" s="654" t="s">
        <v>1625</v>
      </c>
      <c r="D250" s="565" t="s">
        <v>1626</v>
      </c>
      <c r="E250" s="564">
        <v>10000</v>
      </c>
      <c r="G250" s="380"/>
    </row>
    <row r="251" spans="1:7" s="195" customFormat="1" ht="15.75" thickBot="1" x14ac:dyDescent="0.3">
      <c r="D251" s="370">
        <f>D243</f>
        <v>45445</v>
      </c>
      <c r="E251" s="382">
        <f>SUM(E248:E250)</f>
        <v>32500</v>
      </c>
      <c r="F251" s="372"/>
      <c r="G251" s="372"/>
    </row>
    <row r="252" spans="1:7" s="195" customFormat="1" ht="15.75" thickTop="1" x14ac:dyDescent="0.25">
      <c r="A252" s="101"/>
      <c r="B252" s="191"/>
      <c r="C252" s="31"/>
      <c r="D252" s="366"/>
      <c r="E252" s="383"/>
    </row>
    <row r="253" spans="1:7" s="195" customFormat="1" ht="15.75" thickBot="1" x14ac:dyDescent="0.3">
      <c r="A253" s="101"/>
      <c r="B253" s="191"/>
      <c r="C253" s="31"/>
      <c r="D253" s="366"/>
      <c r="E253" s="383"/>
    </row>
    <row r="254" spans="1:7" ht="16.5" thickBot="1" x14ac:dyDescent="0.3">
      <c r="A254" s="376" t="s">
        <v>501</v>
      </c>
      <c r="B254" s="384"/>
      <c r="C254" s="43"/>
      <c r="D254" s="385"/>
      <c r="E254" s="386" t="s">
        <v>200</v>
      </c>
      <c r="F254" s="378" t="s">
        <v>606</v>
      </c>
      <c r="G254" s="379" t="s">
        <v>201</v>
      </c>
    </row>
    <row r="258" spans="1:16" ht="15.75" thickBot="1" x14ac:dyDescent="0.3">
      <c r="B258" s="191"/>
      <c r="C258" s="163" t="s">
        <v>1073</v>
      </c>
      <c r="D258" s="370">
        <f>D243</f>
        <v>45445</v>
      </c>
      <c r="E258" s="389">
        <f>SUM(E256:E257)</f>
        <v>0</v>
      </c>
      <c r="F258" s="389">
        <f>SUM(F256:F257)</f>
        <v>0</v>
      </c>
      <c r="G258" s="372"/>
    </row>
    <row r="259" spans="1:16" s="195" customFormat="1" ht="15.75" thickTop="1" x14ac:dyDescent="0.25">
      <c r="A259" s="101"/>
      <c r="B259" s="191"/>
      <c r="C259" s="101"/>
      <c r="D259" s="101"/>
      <c r="E259" s="101"/>
      <c r="H259" s="101"/>
      <c r="I259" s="101"/>
      <c r="J259" s="101"/>
      <c r="K259" s="101"/>
      <c r="L259" s="101"/>
      <c r="M259" s="101"/>
      <c r="N259" s="101"/>
      <c r="O259" s="101"/>
      <c r="P259" s="101"/>
    </row>
    <row r="260" spans="1:16" s="195" customFormat="1" x14ac:dyDescent="0.25">
      <c r="A260" s="101"/>
      <c r="B260" s="191"/>
      <c r="C260" s="101"/>
      <c r="D260" s="101"/>
      <c r="E260" s="101"/>
      <c r="H260" s="101"/>
      <c r="I260" s="101"/>
      <c r="J260" s="101"/>
      <c r="K260" s="101"/>
      <c r="L260" s="101"/>
      <c r="M260" s="101"/>
      <c r="N260" s="101"/>
      <c r="O260" s="101"/>
      <c r="P260" s="101"/>
    </row>
    <row r="261" spans="1:16" s="394" customFormat="1" x14ac:dyDescent="0.25">
      <c r="A261" s="390"/>
      <c r="B261" s="391"/>
      <c r="C261" s="52"/>
      <c r="D261" s="392"/>
      <c r="E261" s="393"/>
      <c r="H261" s="390"/>
      <c r="I261" s="390"/>
      <c r="J261" s="390"/>
      <c r="K261" s="390"/>
      <c r="L261" s="390"/>
      <c r="M261" s="390"/>
      <c r="N261" s="390"/>
      <c r="O261" s="390"/>
      <c r="P261" s="390"/>
    </row>
    <row r="262" spans="1:16" x14ac:dyDescent="0.25">
      <c r="A262" s="163" t="s">
        <v>376</v>
      </c>
      <c r="B262" s="395"/>
      <c r="C262" s="163"/>
      <c r="D262" s="163"/>
      <c r="E262" s="163"/>
      <c r="F262" s="396"/>
      <c r="G262" s="396" t="s">
        <v>377</v>
      </c>
    </row>
    <row r="263" spans="1:16" hidden="1" x14ac:dyDescent="0.25">
      <c r="A263" s="101" t="s">
        <v>164</v>
      </c>
      <c r="B263" s="191">
        <v>43531</v>
      </c>
      <c r="C263" s="381" t="s">
        <v>378</v>
      </c>
      <c r="D263" s="366" t="s">
        <v>379</v>
      </c>
      <c r="E263" s="387">
        <v>3500</v>
      </c>
      <c r="F263" s="225" t="s">
        <v>307</v>
      </c>
      <c r="G263" s="397">
        <v>43890</v>
      </c>
    </row>
    <row r="264" spans="1:16" hidden="1" x14ac:dyDescent="0.25">
      <c r="A264" s="101" t="s">
        <v>380</v>
      </c>
      <c r="B264" s="191">
        <v>43691</v>
      </c>
      <c r="C264" s="101" t="s">
        <v>357</v>
      </c>
      <c r="D264" s="366" t="s">
        <v>155</v>
      </c>
      <c r="E264" s="387">
        <v>3500</v>
      </c>
      <c r="F264" s="225" t="s">
        <v>307</v>
      </c>
      <c r="G264" s="397">
        <v>43890</v>
      </c>
    </row>
    <row r="265" spans="1:16" hidden="1" x14ac:dyDescent="0.25">
      <c r="A265" s="101" t="s">
        <v>381</v>
      </c>
      <c r="B265" s="191">
        <v>43577</v>
      </c>
      <c r="C265" s="101" t="s">
        <v>382</v>
      </c>
      <c r="D265" s="398" t="s">
        <v>383</v>
      </c>
      <c r="E265" s="387">
        <v>2500</v>
      </c>
      <c r="F265" s="225" t="s">
        <v>307</v>
      </c>
      <c r="G265" s="397">
        <v>43921</v>
      </c>
      <c r="H265" s="101" t="s">
        <v>384</v>
      </c>
    </row>
    <row r="266" spans="1:16" hidden="1" x14ac:dyDescent="0.25">
      <c r="A266" s="101" t="s">
        <v>381</v>
      </c>
      <c r="B266" s="191">
        <v>43767</v>
      </c>
      <c r="C266" s="101" t="s">
        <v>385</v>
      </c>
      <c r="D266" s="101" t="s">
        <v>191</v>
      </c>
      <c r="E266" s="399">
        <v>4500</v>
      </c>
      <c r="F266" s="225" t="s">
        <v>307</v>
      </c>
      <c r="G266" s="397">
        <v>43921</v>
      </c>
      <c r="H266" s="101" t="s">
        <v>386</v>
      </c>
    </row>
    <row r="267" spans="1:16" hidden="1" x14ac:dyDescent="0.25">
      <c r="A267" s="101" t="s">
        <v>450</v>
      </c>
      <c r="B267" s="357">
        <v>43498</v>
      </c>
      <c r="C267" s="101" t="s">
        <v>387</v>
      </c>
      <c r="D267" s="101" t="s">
        <v>182</v>
      </c>
      <c r="E267" s="387">
        <v>3500</v>
      </c>
      <c r="F267" s="225" t="s">
        <v>307</v>
      </c>
      <c r="G267" s="397">
        <v>43982</v>
      </c>
      <c r="H267" s="400" t="s">
        <v>388</v>
      </c>
    </row>
    <row r="268" spans="1:16" hidden="1" x14ac:dyDescent="0.25">
      <c r="A268" s="101" t="s">
        <v>179</v>
      </c>
      <c r="B268" s="191">
        <v>43853</v>
      </c>
      <c r="C268" s="101" t="s">
        <v>355</v>
      </c>
      <c r="D268" s="101" t="s">
        <v>356</v>
      </c>
      <c r="E268" s="375">
        <v>25000</v>
      </c>
      <c r="F268" s="225" t="s">
        <v>215</v>
      </c>
      <c r="G268" s="397">
        <v>44012</v>
      </c>
      <c r="H268" s="101" t="s">
        <v>389</v>
      </c>
    </row>
    <row r="269" spans="1:16" hidden="1" x14ac:dyDescent="0.25">
      <c r="A269" s="101" t="s">
        <v>341</v>
      </c>
      <c r="B269" s="191">
        <v>43417</v>
      </c>
      <c r="C269" s="101" t="s">
        <v>342</v>
      </c>
      <c r="D269" s="245" t="s">
        <v>343</v>
      </c>
      <c r="E269" s="387">
        <v>3500</v>
      </c>
      <c r="F269" s="401" t="s">
        <v>215</v>
      </c>
      <c r="G269" s="397">
        <v>44012</v>
      </c>
      <c r="H269" s="101" t="s">
        <v>478</v>
      </c>
      <c r="P269" s="101">
        <v>139916.68</v>
      </c>
    </row>
    <row r="270" spans="1:16" hidden="1" x14ac:dyDescent="0.25">
      <c r="A270" s="101" t="s">
        <v>105</v>
      </c>
      <c r="B270" s="191">
        <v>43990</v>
      </c>
      <c r="C270" s="101" t="s">
        <v>390</v>
      </c>
      <c r="D270" s="101" t="s">
        <v>391</v>
      </c>
      <c r="E270" s="387">
        <v>3500</v>
      </c>
      <c r="F270" s="402" t="s">
        <v>217</v>
      </c>
      <c r="G270" s="397">
        <v>44043</v>
      </c>
      <c r="H270" s="366" t="s">
        <v>392</v>
      </c>
    </row>
    <row r="271" spans="1:16" hidden="1" x14ac:dyDescent="0.25">
      <c r="A271" s="101" t="s">
        <v>346</v>
      </c>
      <c r="B271" s="191">
        <v>43719</v>
      </c>
      <c r="C271" s="101" t="s">
        <v>347</v>
      </c>
      <c r="D271" s="101" t="s">
        <v>163</v>
      </c>
      <c r="E271" s="399">
        <v>3500</v>
      </c>
      <c r="F271" s="225" t="s">
        <v>307</v>
      </c>
      <c r="G271" s="397">
        <v>44043</v>
      </c>
    </row>
    <row r="272" spans="1:16" hidden="1" x14ac:dyDescent="0.25">
      <c r="A272" s="101" t="s">
        <v>408</v>
      </c>
      <c r="B272" s="191">
        <v>44075</v>
      </c>
      <c r="C272" s="101" t="s">
        <v>442</v>
      </c>
      <c r="D272" s="101" t="s">
        <v>429</v>
      </c>
      <c r="E272" s="387">
        <v>3500</v>
      </c>
      <c r="F272" s="402"/>
      <c r="G272" s="397">
        <v>44104</v>
      </c>
    </row>
    <row r="273" spans="1:8" hidden="1" x14ac:dyDescent="0.25">
      <c r="A273" s="101" t="s">
        <v>105</v>
      </c>
      <c r="B273" s="191">
        <v>44071</v>
      </c>
      <c r="C273" s="101" t="s">
        <v>358</v>
      </c>
      <c r="D273" s="101" t="s">
        <v>359</v>
      </c>
      <c r="E273" s="403">
        <v>3500</v>
      </c>
      <c r="F273" s="402" t="s">
        <v>217</v>
      </c>
      <c r="G273" s="397">
        <v>44135</v>
      </c>
      <c r="H273" s="366" t="s">
        <v>360</v>
      </c>
    </row>
    <row r="274" spans="1:8" hidden="1" x14ac:dyDescent="0.25">
      <c r="A274" s="101" t="s">
        <v>190</v>
      </c>
      <c r="B274" s="191">
        <v>44105</v>
      </c>
      <c r="C274" s="101" t="s">
        <v>467</v>
      </c>
      <c r="D274" s="101" t="s">
        <v>443</v>
      </c>
      <c r="E274" s="387">
        <v>3500</v>
      </c>
      <c r="F274" s="402"/>
      <c r="G274" s="397">
        <v>44135</v>
      </c>
      <c r="H274" s="101" t="s">
        <v>447</v>
      </c>
    </row>
    <row r="275" spans="1:8" hidden="1" x14ac:dyDescent="0.25">
      <c r="A275" s="101" t="s">
        <v>351</v>
      </c>
      <c r="B275" s="191">
        <v>43812</v>
      </c>
      <c r="C275" s="101" t="s">
        <v>352</v>
      </c>
      <c r="D275" s="101" t="s">
        <v>353</v>
      </c>
      <c r="E275" s="387">
        <v>7500</v>
      </c>
      <c r="F275" s="401" t="s">
        <v>217</v>
      </c>
      <c r="G275" s="397">
        <v>44196</v>
      </c>
    </row>
    <row r="276" spans="1:8" hidden="1" x14ac:dyDescent="0.25">
      <c r="A276" s="101" t="s">
        <v>158</v>
      </c>
      <c r="B276" s="191">
        <v>43850</v>
      </c>
      <c r="C276" s="101" t="s">
        <v>354</v>
      </c>
      <c r="D276" s="101" t="s">
        <v>159</v>
      </c>
      <c r="E276" s="387">
        <v>3500</v>
      </c>
      <c r="F276" s="401" t="s">
        <v>217</v>
      </c>
      <c r="G276" s="397">
        <v>44196</v>
      </c>
    </row>
    <row r="277" spans="1:8" hidden="1" x14ac:dyDescent="0.25">
      <c r="A277" s="101" t="s">
        <v>156</v>
      </c>
      <c r="B277" s="191">
        <v>43879</v>
      </c>
      <c r="C277" s="101" t="s">
        <v>357</v>
      </c>
      <c r="D277" s="101" t="s">
        <v>157</v>
      </c>
      <c r="E277" s="403">
        <v>3500</v>
      </c>
      <c r="F277" s="401" t="s">
        <v>217</v>
      </c>
      <c r="G277" s="397">
        <v>44196</v>
      </c>
    </row>
    <row r="278" spans="1:8" hidden="1" x14ac:dyDescent="0.25">
      <c r="A278" s="101" t="s">
        <v>361</v>
      </c>
      <c r="B278" s="191">
        <v>43997</v>
      </c>
      <c r="C278" s="101" t="s">
        <v>329</v>
      </c>
      <c r="D278" s="101" t="s">
        <v>196</v>
      </c>
      <c r="E278" s="387">
        <v>10000</v>
      </c>
      <c r="F278" s="401" t="s">
        <v>217</v>
      </c>
      <c r="G278" s="397">
        <v>44196</v>
      </c>
    </row>
    <row r="279" spans="1:8" hidden="1" x14ac:dyDescent="0.25">
      <c r="A279" s="101" t="s">
        <v>408</v>
      </c>
      <c r="B279" s="191">
        <v>44075</v>
      </c>
      <c r="C279" s="101" t="s">
        <v>438</v>
      </c>
      <c r="D279" s="101" t="s">
        <v>429</v>
      </c>
      <c r="E279" s="387">
        <v>3500</v>
      </c>
      <c r="F279" s="401" t="s">
        <v>217</v>
      </c>
      <c r="G279" s="397">
        <v>44196</v>
      </c>
    </row>
    <row r="280" spans="1:8" hidden="1" x14ac:dyDescent="0.25">
      <c r="A280" s="101" t="s">
        <v>428</v>
      </c>
      <c r="B280" s="191">
        <v>44127</v>
      </c>
      <c r="C280" s="101" t="s">
        <v>440</v>
      </c>
      <c r="D280" s="101" t="s">
        <v>441</v>
      </c>
      <c r="E280" s="387">
        <v>10000</v>
      </c>
      <c r="F280" s="401" t="s">
        <v>217</v>
      </c>
      <c r="G280" s="397">
        <v>44196</v>
      </c>
    </row>
    <row r="281" spans="1:8" hidden="1" x14ac:dyDescent="0.25">
      <c r="A281" s="101" t="s">
        <v>456</v>
      </c>
      <c r="B281" s="191">
        <v>44135</v>
      </c>
      <c r="C281" s="101" t="s">
        <v>457</v>
      </c>
      <c r="E281" s="387">
        <v>812</v>
      </c>
      <c r="F281" s="401" t="s">
        <v>217</v>
      </c>
      <c r="G281" s="397">
        <v>44196</v>
      </c>
    </row>
    <row r="282" spans="1:8" hidden="1" x14ac:dyDescent="0.25">
      <c r="A282" s="101" t="s">
        <v>468</v>
      </c>
      <c r="B282" s="191">
        <v>44165</v>
      </c>
      <c r="C282" s="101" t="s">
        <v>457</v>
      </c>
      <c r="E282" s="387">
        <v>1675</v>
      </c>
      <c r="F282" s="401" t="s">
        <v>217</v>
      </c>
      <c r="G282" s="397">
        <v>44196</v>
      </c>
    </row>
    <row r="283" spans="1:8" hidden="1" x14ac:dyDescent="0.25">
      <c r="A283" s="101" t="s">
        <v>179</v>
      </c>
      <c r="B283" s="191">
        <v>44197</v>
      </c>
      <c r="C283" s="101" t="s">
        <v>559</v>
      </c>
      <c r="D283" s="101" t="s">
        <v>544</v>
      </c>
      <c r="E283" s="387">
        <v>3500</v>
      </c>
      <c r="F283" s="368" t="s">
        <v>217</v>
      </c>
      <c r="G283" s="397">
        <v>44286</v>
      </c>
    </row>
    <row r="284" spans="1:8" hidden="1" x14ac:dyDescent="0.25">
      <c r="A284" s="101" t="s">
        <v>156</v>
      </c>
      <c r="B284" s="191">
        <v>44227</v>
      </c>
      <c r="C284" s="101" t="s">
        <v>561</v>
      </c>
      <c r="D284" s="101" t="s">
        <v>517</v>
      </c>
      <c r="E284" s="387">
        <v>4500</v>
      </c>
      <c r="F284" s="368" t="s">
        <v>217</v>
      </c>
      <c r="G284" s="397">
        <v>44286</v>
      </c>
    </row>
    <row r="285" spans="1:8" hidden="1" x14ac:dyDescent="0.25">
      <c r="A285" s="101" t="s">
        <v>105</v>
      </c>
      <c r="B285" s="191">
        <v>44256</v>
      </c>
      <c r="C285" s="101" t="s">
        <v>566</v>
      </c>
      <c r="D285" s="366" t="s">
        <v>523</v>
      </c>
      <c r="E285" s="566">
        <v>3500</v>
      </c>
      <c r="F285" s="404" t="s">
        <v>217</v>
      </c>
      <c r="G285" s="397">
        <v>44286</v>
      </c>
    </row>
    <row r="286" spans="1:8" hidden="1" x14ac:dyDescent="0.25">
      <c r="A286" s="101" t="s">
        <v>344</v>
      </c>
      <c r="B286" s="191">
        <v>43720</v>
      </c>
      <c r="C286" s="101" t="s">
        <v>305</v>
      </c>
      <c r="D286" s="101" t="s">
        <v>189</v>
      </c>
      <c r="E286" s="399">
        <v>4500</v>
      </c>
      <c r="F286" s="401" t="s">
        <v>217</v>
      </c>
      <c r="G286" s="397">
        <v>44316</v>
      </c>
    </row>
    <row r="287" spans="1:8" hidden="1" x14ac:dyDescent="0.25">
      <c r="A287" s="101" t="s">
        <v>179</v>
      </c>
      <c r="B287" s="191">
        <v>44197</v>
      </c>
      <c r="C287" s="101" t="s">
        <v>355</v>
      </c>
      <c r="D287" s="101" t="s">
        <v>544</v>
      </c>
      <c r="E287" s="387">
        <v>25000</v>
      </c>
      <c r="F287" s="368" t="s">
        <v>217</v>
      </c>
      <c r="G287" s="397">
        <v>44316</v>
      </c>
    </row>
    <row r="288" spans="1:8" hidden="1" x14ac:dyDescent="0.25">
      <c r="A288" s="101" t="s">
        <v>346</v>
      </c>
      <c r="B288" s="191">
        <v>43719</v>
      </c>
      <c r="C288" s="101" t="s">
        <v>348</v>
      </c>
      <c r="D288" s="101" t="s">
        <v>163</v>
      </c>
      <c r="E288" s="399">
        <v>3500</v>
      </c>
      <c r="F288" s="401" t="s">
        <v>217</v>
      </c>
      <c r="G288" s="397">
        <v>44347</v>
      </c>
    </row>
    <row r="289" spans="1:8" hidden="1" x14ac:dyDescent="0.25">
      <c r="A289" s="101" t="s">
        <v>179</v>
      </c>
      <c r="B289" s="191">
        <v>44197</v>
      </c>
      <c r="C289" s="101" t="s">
        <v>355</v>
      </c>
      <c r="D289" s="101" t="s">
        <v>544</v>
      </c>
      <c r="E289" s="387">
        <v>25000</v>
      </c>
      <c r="F289" s="368" t="s">
        <v>217</v>
      </c>
      <c r="G289" s="397">
        <v>44408</v>
      </c>
    </row>
    <row r="290" spans="1:8" hidden="1" x14ac:dyDescent="0.25">
      <c r="A290" s="101" t="s">
        <v>531</v>
      </c>
      <c r="B290" s="191">
        <v>44197</v>
      </c>
      <c r="C290" s="101" t="s">
        <v>701</v>
      </c>
      <c r="D290" s="101" t="s">
        <v>414</v>
      </c>
      <c r="E290" s="405">
        <v>3500</v>
      </c>
      <c r="F290" s="368" t="s">
        <v>217</v>
      </c>
      <c r="G290" s="397">
        <v>44439</v>
      </c>
    </row>
    <row r="291" spans="1:8" hidden="1" x14ac:dyDescent="0.25">
      <c r="A291" s="101" t="s">
        <v>410</v>
      </c>
      <c r="B291" s="191">
        <v>44104</v>
      </c>
      <c r="C291" s="101" t="s">
        <v>422</v>
      </c>
      <c r="D291" s="101" t="s">
        <v>411</v>
      </c>
      <c r="E291" s="387">
        <v>10000</v>
      </c>
      <c r="F291" s="401" t="s">
        <v>217</v>
      </c>
      <c r="G291" s="397">
        <v>44439</v>
      </c>
    </row>
    <row r="292" spans="1:8" hidden="1" x14ac:dyDescent="0.25">
      <c r="A292" s="101" t="s">
        <v>596</v>
      </c>
      <c r="B292" s="191">
        <v>44369</v>
      </c>
      <c r="C292" s="101" t="s">
        <v>646</v>
      </c>
      <c r="D292" s="366" t="s">
        <v>629</v>
      </c>
      <c r="E292" s="566">
        <v>3500</v>
      </c>
      <c r="F292" s="368" t="s">
        <v>217</v>
      </c>
      <c r="G292" s="397">
        <v>44439</v>
      </c>
    </row>
    <row r="293" spans="1:8" hidden="1" x14ac:dyDescent="0.25">
      <c r="A293" s="101" t="s">
        <v>345</v>
      </c>
      <c r="B293" s="191">
        <v>43720</v>
      </c>
      <c r="C293" s="101" t="s">
        <v>702</v>
      </c>
      <c r="D293" s="101" t="s">
        <v>189</v>
      </c>
      <c r="E293" s="387">
        <v>4500</v>
      </c>
      <c r="F293" s="368" t="s">
        <v>217</v>
      </c>
      <c r="G293" s="397">
        <v>44439</v>
      </c>
    </row>
    <row r="294" spans="1:8" hidden="1" x14ac:dyDescent="0.25">
      <c r="A294" s="101" t="s">
        <v>650</v>
      </c>
      <c r="B294" s="191">
        <v>44404</v>
      </c>
      <c r="C294" s="101" t="s">
        <v>668</v>
      </c>
      <c r="D294" s="366" t="s">
        <v>669</v>
      </c>
      <c r="E294" s="566">
        <v>3500</v>
      </c>
      <c r="F294" s="368" t="s">
        <v>217</v>
      </c>
      <c r="G294" s="397">
        <v>44439</v>
      </c>
    </row>
    <row r="295" spans="1:8" hidden="1" x14ac:dyDescent="0.25">
      <c r="A295" s="101" t="s">
        <v>158</v>
      </c>
      <c r="B295" s="191">
        <v>44227</v>
      </c>
      <c r="C295" s="101" t="s">
        <v>537</v>
      </c>
      <c r="D295" s="101" t="s">
        <v>519</v>
      </c>
      <c r="E295" s="405">
        <v>3500</v>
      </c>
      <c r="F295" s="368" t="s">
        <v>217</v>
      </c>
      <c r="G295" s="397">
        <v>44469</v>
      </c>
    </row>
    <row r="296" spans="1:8" hidden="1" x14ac:dyDescent="0.25">
      <c r="A296" s="101" t="s">
        <v>563</v>
      </c>
      <c r="B296" s="191">
        <v>44236</v>
      </c>
      <c r="C296" s="101" t="s">
        <v>564</v>
      </c>
      <c r="D296" s="366" t="s">
        <v>565</v>
      </c>
      <c r="E296" s="363">
        <v>5000</v>
      </c>
      <c r="F296" s="406" t="s">
        <v>217</v>
      </c>
      <c r="G296" s="397">
        <v>44469</v>
      </c>
    </row>
    <row r="297" spans="1:8" hidden="1" x14ac:dyDescent="0.25">
      <c r="A297" s="101" t="s">
        <v>188</v>
      </c>
      <c r="B297" s="191">
        <v>44317</v>
      </c>
      <c r="C297" s="101" t="s">
        <v>615</v>
      </c>
      <c r="D297" s="366" t="s">
        <v>616</v>
      </c>
      <c r="E297" s="363">
        <v>25000</v>
      </c>
      <c r="F297" s="368" t="s">
        <v>217</v>
      </c>
      <c r="G297" s="397">
        <v>44469</v>
      </c>
    </row>
    <row r="298" spans="1:8" hidden="1" x14ac:dyDescent="0.25">
      <c r="A298" s="101" t="s">
        <v>179</v>
      </c>
      <c r="B298" s="191">
        <v>44369</v>
      </c>
      <c r="C298" s="101" t="s">
        <v>644</v>
      </c>
      <c r="D298" s="101" t="s">
        <v>645</v>
      </c>
      <c r="E298" s="363">
        <v>15000</v>
      </c>
      <c r="F298" s="368" t="s">
        <v>217</v>
      </c>
      <c r="G298" s="397">
        <v>44469</v>
      </c>
      <c r="H298" s="101" t="s">
        <v>676</v>
      </c>
    </row>
    <row r="299" spans="1:8" hidden="1" x14ac:dyDescent="0.25">
      <c r="A299" s="101" t="s">
        <v>179</v>
      </c>
      <c r="B299" s="191">
        <v>44197</v>
      </c>
      <c r="C299" s="101" t="s">
        <v>560</v>
      </c>
      <c r="D299" s="101" t="s">
        <v>544</v>
      </c>
      <c r="E299" s="405">
        <v>3500</v>
      </c>
      <c r="F299" s="368" t="s">
        <v>217</v>
      </c>
      <c r="G299" s="397">
        <v>44500</v>
      </c>
    </row>
    <row r="300" spans="1:8" hidden="1" x14ac:dyDescent="0.25">
      <c r="A300" s="101" t="s">
        <v>105</v>
      </c>
      <c r="B300" s="191">
        <v>44256</v>
      </c>
      <c r="C300" s="101" t="s">
        <v>446</v>
      </c>
      <c r="D300" s="366" t="s">
        <v>523</v>
      </c>
      <c r="E300" s="363">
        <v>3500</v>
      </c>
      <c r="F300" s="406" t="s">
        <v>217</v>
      </c>
      <c r="G300" s="397">
        <v>44500</v>
      </c>
    </row>
    <row r="301" spans="1:8" hidden="1" x14ac:dyDescent="0.25">
      <c r="A301" s="101" t="s">
        <v>194</v>
      </c>
      <c r="B301" s="191">
        <v>44209</v>
      </c>
      <c r="C301" s="101" t="s">
        <v>533</v>
      </c>
      <c r="D301" s="101" t="s">
        <v>534</v>
      </c>
      <c r="E301" s="405">
        <v>3500</v>
      </c>
      <c r="F301" s="368" t="s">
        <v>217</v>
      </c>
      <c r="G301" s="397">
        <v>44530</v>
      </c>
    </row>
    <row r="302" spans="1:8" hidden="1" x14ac:dyDescent="0.25">
      <c r="A302" s="101" t="s">
        <v>186</v>
      </c>
      <c r="B302" s="191">
        <v>44473</v>
      </c>
      <c r="C302" s="101" t="s">
        <v>713</v>
      </c>
      <c r="D302" s="366" t="s">
        <v>714</v>
      </c>
      <c r="E302" s="566">
        <v>3500</v>
      </c>
      <c r="F302" s="368" t="s">
        <v>217</v>
      </c>
      <c r="G302" s="397">
        <v>44530</v>
      </c>
    </row>
    <row r="303" spans="1:8" hidden="1" x14ac:dyDescent="0.25">
      <c r="A303" s="101" t="s">
        <v>194</v>
      </c>
      <c r="B303" s="191">
        <v>44209</v>
      </c>
      <c r="C303" s="101" t="s">
        <v>535</v>
      </c>
      <c r="D303" s="101" t="s">
        <v>534</v>
      </c>
      <c r="E303" s="405">
        <v>3500</v>
      </c>
      <c r="F303" s="368" t="s">
        <v>217</v>
      </c>
      <c r="G303" s="397">
        <v>44561</v>
      </c>
    </row>
    <row r="304" spans="1:8" hidden="1" x14ac:dyDescent="0.25">
      <c r="A304" s="101" t="s">
        <v>512</v>
      </c>
      <c r="B304" s="191">
        <v>44215</v>
      </c>
      <c r="C304" s="101" t="s">
        <v>536</v>
      </c>
      <c r="D304" s="101" t="s">
        <v>513</v>
      </c>
      <c r="E304" s="405">
        <v>3500</v>
      </c>
      <c r="F304" s="368"/>
      <c r="G304" s="397">
        <v>44592</v>
      </c>
    </row>
    <row r="305" spans="1:8" hidden="1" x14ac:dyDescent="0.25">
      <c r="A305" s="101" t="s">
        <v>161</v>
      </c>
      <c r="B305" s="191">
        <v>44470</v>
      </c>
      <c r="C305" s="101" t="s">
        <v>702</v>
      </c>
      <c r="D305" s="366" t="s">
        <v>734</v>
      </c>
      <c r="E305" s="363">
        <v>3500</v>
      </c>
      <c r="F305" s="368"/>
      <c r="G305" s="397">
        <v>44620</v>
      </c>
      <c r="H305" s="365"/>
    </row>
    <row r="306" spans="1:8" ht="45" hidden="1" x14ac:dyDescent="0.25">
      <c r="A306" s="101" t="s">
        <v>361</v>
      </c>
      <c r="B306" s="191">
        <v>44501</v>
      </c>
      <c r="C306" s="101" t="s">
        <v>720</v>
      </c>
      <c r="D306" s="366" t="s">
        <v>721</v>
      </c>
      <c r="E306" s="363">
        <v>10000</v>
      </c>
      <c r="F306" s="368"/>
      <c r="G306" s="397">
        <v>44620</v>
      </c>
      <c r="H306" s="365" t="s">
        <v>722</v>
      </c>
    </row>
    <row r="307" spans="1:8" hidden="1" x14ac:dyDescent="0.25">
      <c r="A307" s="101" t="s">
        <v>689</v>
      </c>
      <c r="B307" s="191">
        <v>44621</v>
      </c>
      <c r="C307" s="381" t="s">
        <v>827</v>
      </c>
      <c r="D307" s="366" t="s">
        <v>795</v>
      </c>
      <c r="E307" s="567">
        <v>3500</v>
      </c>
      <c r="F307" s="368"/>
      <c r="G307" s="397">
        <v>44651</v>
      </c>
      <c r="H307" s="365"/>
    </row>
    <row r="308" spans="1:8" hidden="1" x14ac:dyDescent="0.25">
      <c r="A308" s="101" t="s">
        <v>520</v>
      </c>
      <c r="B308" s="101">
        <v>44593</v>
      </c>
      <c r="C308" s="101" t="s">
        <v>828</v>
      </c>
      <c r="D308" s="101" t="s">
        <v>801</v>
      </c>
      <c r="E308" s="564">
        <v>3500</v>
      </c>
      <c r="F308" s="368"/>
      <c r="G308" s="397">
        <v>44651</v>
      </c>
      <c r="H308" s="365"/>
    </row>
    <row r="309" spans="1:8" hidden="1" x14ac:dyDescent="0.25">
      <c r="A309" s="101" t="s">
        <v>736</v>
      </c>
      <c r="B309" s="191">
        <v>44531</v>
      </c>
      <c r="C309" s="101" t="s">
        <v>698</v>
      </c>
      <c r="D309" s="366" t="s">
        <v>737</v>
      </c>
      <c r="E309" s="566">
        <v>3500</v>
      </c>
      <c r="F309" s="368"/>
      <c r="G309" s="397">
        <v>44651</v>
      </c>
      <c r="H309" s="245" t="s">
        <v>829</v>
      </c>
    </row>
    <row r="310" spans="1:8" hidden="1" x14ac:dyDescent="0.25">
      <c r="A310" s="101" t="s">
        <v>190</v>
      </c>
      <c r="B310" s="191">
        <v>44105</v>
      </c>
      <c r="C310" s="101" t="s">
        <v>772</v>
      </c>
      <c r="D310" s="101" t="s">
        <v>443</v>
      </c>
      <c r="E310" s="407">
        <v>3500</v>
      </c>
      <c r="F310" s="364"/>
      <c r="G310" s="397">
        <v>44681</v>
      </c>
      <c r="H310" s="408" t="s">
        <v>869</v>
      </c>
    </row>
    <row r="311" spans="1:8" hidden="1" x14ac:dyDescent="0.25">
      <c r="A311" s="409" t="s">
        <v>408</v>
      </c>
      <c r="B311" s="410">
        <v>44460</v>
      </c>
      <c r="C311" s="409" t="s">
        <v>700</v>
      </c>
      <c r="D311" s="411" t="s">
        <v>691</v>
      </c>
      <c r="E311" s="412">
        <v>3500</v>
      </c>
      <c r="F311" s="413"/>
      <c r="G311" s="414">
        <v>44681</v>
      </c>
      <c r="H311" s="245"/>
    </row>
    <row r="312" spans="1:8" hidden="1" x14ac:dyDescent="0.25">
      <c r="A312" s="101" t="s">
        <v>188</v>
      </c>
      <c r="B312" s="366">
        <v>44607</v>
      </c>
      <c r="C312" s="101" t="s">
        <v>355</v>
      </c>
      <c r="D312" s="101" t="s">
        <v>822</v>
      </c>
      <c r="E312" s="66">
        <v>25000</v>
      </c>
      <c r="F312" s="368"/>
      <c r="G312" s="397">
        <v>44681</v>
      </c>
      <c r="H312" s="245"/>
    </row>
    <row r="313" spans="1:8" hidden="1" x14ac:dyDescent="0.25">
      <c r="A313" s="101" t="s">
        <v>174</v>
      </c>
      <c r="B313" s="191">
        <v>44635</v>
      </c>
      <c r="C313" s="381" t="s">
        <v>355</v>
      </c>
      <c r="D313" s="366" t="s">
        <v>824</v>
      </c>
      <c r="E313" s="68">
        <v>25000</v>
      </c>
      <c r="F313" s="368"/>
      <c r="G313" s="397">
        <v>44681</v>
      </c>
      <c r="H313" s="245"/>
    </row>
    <row r="314" spans="1:8" hidden="1" x14ac:dyDescent="0.25">
      <c r="A314" s="101" t="s">
        <v>179</v>
      </c>
      <c r="B314" s="366">
        <v>44562</v>
      </c>
      <c r="C314" s="101" t="s">
        <v>870</v>
      </c>
      <c r="D314" s="101" t="s">
        <v>797</v>
      </c>
      <c r="E314" s="66">
        <v>3500</v>
      </c>
      <c r="F314" s="368"/>
      <c r="G314" s="397">
        <v>44681</v>
      </c>
      <c r="H314" s="365"/>
    </row>
    <row r="315" spans="1:8" hidden="1" x14ac:dyDescent="0.25">
      <c r="A315" s="101" t="s">
        <v>106</v>
      </c>
      <c r="B315" s="191">
        <v>44044</v>
      </c>
      <c r="C315" s="101" t="s">
        <v>696</v>
      </c>
      <c r="D315" s="101" t="s">
        <v>401</v>
      </c>
      <c r="E315" s="405">
        <v>3500</v>
      </c>
      <c r="F315" s="368"/>
      <c r="G315" s="397">
        <v>44712</v>
      </c>
    </row>
    <row r="316" spans="1:8" hidden="1" x14ac:dyDescent="0.25">
      <c r="A316" s="101" t="s">
        <v>596</v>
      </c>
      <c r="B316" s="191">
        <v>44369</v>
      </c>
      <c r="C316" s="101" t="s">
        <v>773</v>
      </c>
      <c r="D316" s="366" t="s">
        <v>629</v>
      </c>
      <c r="E316" s="363">
        <v>3500</v>
      </c>
      <c r="F316" s="368"/>
      <c r="G316" s="397">
        <v>44712</v>
      </c>
    </row>
    <row r="317" spans="1:8" hidden="1" x14ac:dyDescent="0.25">
      <c r="A317" s="101" t="s">
        <v>717</v>
      </c>
      <c r="B317" s="191">
        <v>44531</v>
      </c>
      <c r="C317" s="101" t="s">
        <v>816</v>
      </c>
      <c r="D317" s="366" t="s">
        <v>738</v>
      </c>
      <c r="E317" s="363">
        <v>3500</v>
      </c>
      <c r="F317" s="368"/>
      <c r="G317" s="397">
        <v>44742</v>
      </c>
      <c r="H317" s="365"/>
    </row>
    <row r="318" spans="1:8" hidden="1" x14ac:dyDescent="0.25">
      <c r="A318" s="101" t="s">
        <v>531</v>
      </c>
      <c r="B318" s="191">
        <v>44197</v>
      </c>
      <c r="C318" s="101" t="s">
        <v>532</v>
      </c>
      <c r="D318" s="101" t="s">
        <v>414</v>
      </c>
      <c r="E318" s="405">
        <v>3500</v>
      </c>
      <c r="F318" s="364"/>
      <c r="G318" s="397">
        <v>44742</v>
      </c>
    </row>
    <row r="319" spans="1:8" hidden="1" x14ac:dyDescent="0.25">
      <c r="A319" s="101" t="s">
        <v>864</v>
      </c>
      <c r="B319" s="191">
        <v>44699</v>
      </c>
      <c r="C319" s="101" t="s">
        <v>865</v>
      </c>
      <c r="D319" s="366" t="s">
        <v>866</v>
      </c>
      <c r="E319" s="363">
        <v>3500</v>
      </c>
      <c r="F319" s="368"/>
      <c r="G319" s="397">
        <v>44742</v>
      </c>
      <c r="H319" s="365"/>
    </row>
    <row r="320" spans="1:8" hidden="1" x14ac:dyDescent="0.25">
      <c r="A320" s="101" t="s">
        <v>179</v>
      </c>
      <c r="B320" s="366">
        <v>44562</v>
      </c>
      <c r="C320" s="101" t="s">
        <v>863</v>
      </c>
      <c r="D320" s="101" t="s">
        <v>797</v>
      </c>
      <c r="E320" s="66">
        <v>25000</v>
      </c>
      <c r="F320" s="368"/>
      <c r="G320" s="397">
        <v>44773</v>
      </c>
      <c r="H320" s="365"/>
    </row>
    <row r="321" spans="1:8" hidden="1" x14ac:dyDescent="0.25">
      <c r="A321" s="101" t="s">
        <v>904</v>
      </c>
      <c r="B321" s="191">
        <v>44124</v>
      </c>
      <c r="C321" s="101" t="s">
        <v>698</v>
      </c>
      <c r="D321" s="101" t="s">
        <v>427</v>
      </c>
      <c r="E321" s="407">
        <v>3500</v>
      </c>
      <c r="F321" s="364"/>
      <c r="G321" s="397">
        <v>44773</v>
      </c>
      <c r="H321" s="181" t="s">
        <v>910</v>
      </c>
    </row>
    <row r="322" spans="1:8" hidden="1" x14ac:dyDescent="0.25">
      <c r="A322" s="101" t="s">
        <v>408</v>
      </c>
      <c r="B322" s="191">
        <v>44460</v>
      </c>
      <c r="C322" s="101" t="s">
        <v>891</v>
      </c>
      <c r="D322" s="366" t="s">
        <v>691</v>
      </c>
      <c r="E322" s="363">
        <v>3500</v>
      </c>
      <c r="F322" s="368"/>
      <c r="G322" s="397">
        <v>44804</v>
      </c>
      <c r="H322" s="245" t="s">
        <v>872</v>
      </c>
    </row>
    <row r="323" spans="1:8" hidden="1" x14ac:dyDescent="0.25">
      <c r="A323" s="101" t="s">
        <v>763</v>
      </c>
      <c r="B323" s="191">
        <v>44545</v>
      </c>
      <c r="C323" s="101" t="s">
        <v>893</v>
      </c>
      <c r="D323" s="366" t="s">
        <v>774</v>
      </c>
      <c r="E323" s="68">
        <v>4500</v>
      </c>
      <c r="F323" s="368"/>
      <c r="G323" s="397">
        <v>44804</v>
      </c>
      <c r="H323" s="245"/>
    </row>
    <row r="324" spans="1:8" hidden="1" x14ac:dyDescent="0.25">
      <c r="A324" s="101" t="s">
        <v>174</v>
      </c>
      <c r="B324" s="191">
        <v>44635</v>
      </c>
      <c r="C324" s="381" t="s">
        <v>897</v>
      </c>
      <c r="D324" s="366" t="s">
        <v>825</v>
      </c>
      <c r="E324" s="363">
        <f>13000-6500</f>
        <v>6500</v>
      </c>
      <c r="F324" s="415"/>
      <c r="G324" s="397">
        <v>44804</v>
      </c>
      <c r="H324" s="408" t="s">
        <v>898</v>
      </c>
    </row>
    <row r="325" spans="1:8" hidden="1" x14ac:dyDescent="0.25">
      <c r="A325" s="101" t="s">
        <v>179</v>
      </c>
      <c r="B325" s="366">
        <v>44562</v>
      </c>
      <c r="C325" s="250" t="s">
        <v>886</v>
      </c>
      <c r="D325" s="101" t="s">
        <v>797</v>
      </c>
      <c r="E325" s="66">
        <v>3500</v>
      </c>
      <c r="F325" s="368"/>
      <c r="G325" s="397">
        <v>44834</v>
      </c>
      <c r="H325" s="365"/>
    </row>
    <row r="326" spans="1:8" hidden="1" x14ac:dyDescent="0.25">
      <c r="A326" s="101" t="s">
        <v>105</v>
      </c>
      <c r="B326" s="191">
        <v>44621</v>
      </c>
      <c r="C326" s="381" t="s">
        <v>896</v>
      </c>
      <c r="D326" s="366" t="s">
        <v>802</v>
      </c>
      <c r="E326" s="68">
        <v>3500</v>
      </c>
      <c r="F326" s="368"/>
      <c r="G326" s="397">
        <v>44834</v>
      </c>
      <c r="H326" s="365"/>
    </row>
    <row r="327" spans="1:8" hidden="1" x14ac:dyDescent="0.25">
      <c r="A327" s="101" t="s">
        <v>576</v>
      </c>
      <c r="B327" s="191">
        <v>44280</v>
      </c>
      <c r="C327" s="101" t="s">
        <v>890</v>
      </c>
      <c r="D327" s="366" t="s">
        <v>577</v>
      </c>
      <c r="E327" s="363">
        <v>3500</v>
      </c>
      <c r="F327" s="368"/>
      <c r="G327" s="397">
        <v>44865</v>
      </c>
    </row>
    <row r="328" spans="1:8" hidden="1" x14ac:dyDescent="0.25">
      <c r="A328" s="101" t="s">
        <v>161</v>
      </c>
      <c r="B328" s="191">
        <v>44470</v>
      </c>
      <c r="C328" s="101" t="s">
        <v>890</v>
      </c>
      <c r="D328" s="366" t="s">
        <v>734</v>
      </c>
      <c r="E328" s="363">
        <v>3500</v>
      </c>
      <c r="F328" s="368"/>
      <c r="G328" s="397">
        <v>44865</v>
      </c>
      <c r="H328" s="365"/>
    </row>
    <row r="329" spans="1:8" s="204" customFormat="1" hidden="1" x14ac:dyDescent="0.25">
      <c r="A329" s="204" t="s">
        <v>673</v>
      </c>
      <c r="B329" s="357">
        <v>44774</v>
      </c>
      <c r="C329" s="361" t="s">
        <v>355</v>
      </c>
      <c r="D329" s="362" t="s">
        <v>928</v>
      </c>
      <c r="E329" s="348">
        <f>12500+1360</f>
        <v>13860</v>
      </c>
      <c r="F329" s="368"/>
      <c r="G329" s="397">
        <v>44865</v>
      </c>
      <c r="H329" s="360"/>
    </row>
    <row r="330" spans="1:8" hidden="1" x14ac:dyDescent="0.25">
      <c r="A330" s="101" t="s">
        <v>957</v>
      </c>
      <c r="B330" s="191">
        <v>44846</v>
      </c>
      <c r="C330" s="101" t="s">
        <v>355</v>
      </c>
      <c r="D330" s="366" t="s">
        <v>958</v>
      </c>
      <c r="E330" s="363">
        <v>4950</v>
      </c>
      <c r="F330" s="368"/>
      <c r="G330" s="397">
        <v>44865</v>
      </c>
      <c r="H330" s="365"/>
    </row>
    <row r="331" spans="1:8" hidden="1" x14ac:dyDescent="0.25">
      <c r="A331" s="101" t="s">
        <v>563</v>
      </c>
      <c r="B331" s="191">
        <v>44530</v>
      </c>
      <c r="C331" s="101" t="s">
        <v>892</v>
      </c>
      <c r="D331" s="366" t="s">
        <v>750</v>
      </c>
      <c r="E331" s="363">
        <v>5000</v>
      </c>
      <c r="F331" s="368"/>
      <c r="G331" s="397">
        <v>44895</v>
      </c>
      <c r="H331" s="365"/>
    </row>
    <row r="332" spans="1:8" hidden="1" x14ac:dyDescent="0.25">
      <c r="A332" s="101" t="s">
        <v>158</v>
      </c>
      <c r="B332" s="191">
        <v>44545</v>
      </c>
      <c r="C332" s="101" t="s">
        <v>894</v>
      </c>
      <c r="D332" s="366" t="s">
        <v>775</v>
      </c>
      <c r="E332" s="68">
        <v>3500</v>
      </c>
      <c r="F332" s="368"/>
      <c r="G332" s="397">
        <v>44895</v>
      </c>
      <c r="H332" s="365"/>
    </row>
    <row r="333" spans="1:8" hidden="1" x14ac:dyDescent="0.25">
      <c r="A333" s="101" t="s">
        <v>105</v>
      </c>
      <c r="B333" s="191">
        <v>44621</v>
      </c>
      <c r="C333" s="381" t="s">
        <v>823</v>
      </c>
      <c r="D333" s="366" t="s">
        <v>802</v>
      </c>
      <c r="E333" s="68">
        <v>3500</v>
      </c>
      <c r="F333" s="368"/>
      <c r="G333" s="397">
        <v>44895</v>
      </c>
      <c r="H333" s="365"/>
    </row>
    <row r="334" spans="1:8" hidden="1" x14ac:dyDescent="0.25">
      <c r="A334" s="101" t="s">
        <v>162</v>
      </c>
      <c r="B334" s="191">
        <v>44440</v>
      </c>
      <c r="C334" s="101" t="s">
        <v>883</v>
      </c>
      <c r="D334" s="366" t="s">
        <v>699</v>
      </c>
      <c r="E334" s="363">
        <v>3500</v>
      </c>
      <c r="F334" s="368"/>
      <c r="G334" s="397">
        <v>44926</v>
      </c>
    </row>
    <row r="335" spans="1:8" s="204" customFormat="1" hidden="1" x14ac:dyDescent="0.25">
      <c r="A335" s="204" t="s">
        <v>905</v>
      </c>
      <c r="B335" s="357">
        <v>44774</v>
      </c>
      <c r="C335" s="361" t="s">
        <v>758</v>
      </c>
      <c r="D335" s="362" t="s">
        <v>919</v>
      </c>
      <c r="E335" s="363">
        <v>3500</v>
      </c>
      <c r="F335" s="368"/>
      <c r="G335" s="397">
        <v>44926</v>
      </c>
      <c r="H335" s="360"/>
    </row>
    <row r="336" spans="1:8" hidden="1" x14ac:dyDescent="0.25">
      <c r="A336" s="101" t="s">
        <v>156</v>
      </c>
      <c r="B336" s="366">
        <v>44593</v>
      </c>
      <c r="C336" s="101" t="s">
        <v>895</v>
      </c>
      <c r="D336" s="101" t="s">
        <v>799</v>
      </c>
      <c r="E336" s="66">
        <v>3500</v>
      </c>
      <c r="F336" s="368"/>
      <c r="G336" s="397">
        <v>44957</v>
      </c>
    </row>
    <row r="337" spans="1:8" hidden="1" x14ac:dyDescent="0.25">
      <c r="A337" s="101" t="s">
        <v>156</v>
      </c>
      <c r="B337" s="366">
        <v>44593</v>
      </c>
      <c r="C337" s="101" t="s">
        <v>821</v>
      </c>
      <c r="D337" s="101" t="s">
        <v>799</v>
      </c>
      <c r="E337" s="66">
        <v>1500</v>
      </c>
      <c r="F337" s="368"/>
      <c r="G337" s="397">
        <v>44957</v>
      </c>
    </row>
    <row r="338" spans="1:8" hidden="1" x14ac:dyDescent="0.25">
      <c r="A338" s="101" t="s">
        <v>730</v>
      </c>
      <c r="B338" s="191">
        <v>44517</v>
      </c>
      <c r="C338" s="101" t="s">
        <v>881</v>
      </c>
      <c r="D338" s="366" t="s">
        <v>749</v>
      </c>
      <c r="E338" s="363">
        <f>3500+1500</f>
        <v>5000</v>
      </c>
      <c r="F338" s="368"/>
      <c r="G338" s="397">
        <v>44957</v>
      </c>
    </row>
    <row r="339" spans="1:8" hidden="1" x14ac:dyDescent="0.25">
      <c r="A339" s="101" t="s">
        <v>156</v>
      </c>
      <c r="B339" s="191">
        <v>44958</v>
      </c>
      <c r="C339" s="101" t="s">
        <v>1067</v>
      </c>
      <c r="D339" s="366" t="s">
        <v>1041</v>
      </c>
      <c r="E339" s="363">
        <v>3500</v>
      </c>
      <c r="F339" s="368"/>
      <c r="G339" s="416">
        <v>44985</v>
      </c>
      <c r="H339" s="365"/>
    </row>
    <row r="340" spans="1:8" hidden="1" x14ac:dyDescent="0.25">
      <c r="A340" s="101" t="s">
        <v>736</v>
      </c>
      <c r="B340" s="191">
        <v>44896</v>
      </c>
      <c r="C340" s="101" t="s">
        <v>1056</v>
      </c>
      <c r="D340" s="366" t="s">
        <v>1016</v>
      </c>
      <c r="E340" s="363">
        <v>2500</v>
      </c>
      <c r="F340" s="359"/>
      <c r="G340" s="416">
        <v>45016</v>
      </c>
      <c r="H340" s="365"/>
    </row>
    <row r="341" spans="1:8" hidden="1" x14ac:dyDescent="0.25">
      <c r="A341" s="101" t="s">
        <v>105</v>
      </c>
      <c r="B341" s="191">
        <v>44986</v>
      </c>
      <c r="C341" s="101" t="s">
        <v>1066</v>
      </c>
      <c r="D341" s="366" t="s">
        <v>1043</v>
      </c>
      <c r="E341" s="363">
        <v>3500</v>
      </c>
      <c r="F341" s="359"/>
      <c r="G341" s="416">
        <v>45016</v>
      </c>
      <c r="H341" s="365"/>
    </row>
    <row r="342" spans="1:8" hidden="1" x14ac:dyDescent="0.25">
      <c r="A342" s="101" t="s">
        <v>520</v>
      </c>
      <c r="B342" s="191">
        <v>44958</v>
      </c>
      <c r="C342" s="101" t="s">
        <v>950</v>
      </c>
      <c r="D342" s="366" t="s">
        <v>1074</v>
      </c>
      <c r="E342" s="363">
        <v>3500</v>
      </c>
      <c r="F342" s="368"/>
      <c r="G342" s="416">
        <v>45046</v>
      </c>
      <c r="H342" s="365"/>
    </row>
    <row r="343" spans="1:8" s="204" customFormat="1" hidden="1" x14ac:dyDescent="0.25">
      <c r="A343" s="204" t="s">
        <v>596</v>
      </c>
      <c r="B343" s="357">
        <v>44743</v>
      </c>
      <c r="C343" s="361" t="s">
        <v>665</v>
      </c>
      <c r="D343" s="362" t="s">
        <v>911</v>
      </c>
      <c r="E343" s="363">
        <v>3500</v>
      </c>
      <c r="F343" s="368"/>
      <c r="G343" s="416">
        <v>45046</v>
      </c>
      <c r="H343" s="360"/>
    </row>
    <row r="344" spans="1:8" hidden="1" x14ac:dyDescent="0.25">
      <c r="A344" s="101" t="s">
        <v>179</v>
      </c>
      <c r="B344" s="191">
        <v>44927</v>
      </c>
      <c r="C344" s="101" t="s">
        <v>1142</v>
      </c>
      <c r="D344" s="366" t="s">
        <v>1040</v>
      </c>
      <c r="E344" s="363">
        <v>3500</v>
      </c>
      <c r="F344" s="359"/>
      <c r="G344" s="416">
        <v>45077</v>
      </c>
      <c r="H344" s="245"/>
    </row>
    <row r="345" spans="1:8" hidden="1" x14ac:dyDescent="0.25">
      <c r="A345" s="101" t="s">
        <v>580</v>
      </c>
      <c r="B345" s="191">
        <v>45017</v>
      </c>
      <c r="C345" s="101" t="s">
        <v>1143</v>
      </c>
      <c r="D345" s="366" t="s">
        <v>1090</v>
      </c>
      <c r="E345" s="363">
        <v>3500</v>
      </c>
      <c r="F345" s="359"/>
      <c r="G345" s="416">
        <v>45077</v>
      </c>
      <c r="H345" s="245"/>
    </row>
    <row r="346" spans="1:8" hidden="1" x14ac:dyDescent="0.25">
      <c r="A346" s="101" t="s">
        <v>576</v>
      </c>
      <c r="B346" s="191">
        <v>44652</v>
      </c>
      <c r="C346" s="101" t="s">
        <v>899</v>
      </c>
      <c r="D346" s="366" t="s">
        <v>833</v>
      </c>
      <c r="E346" s="363">
        <v>3500</v>
      </c>
      <c r="F346" s="368"/>
      <c r="G346" s="416">
        <v>45107</v>
      </c>
      <c r="H346" s="245"/>
    </row>
    <row r="347" spans="1:8" hidden="1" x14ac:dyDescent="0.25">
      <c r="A347" s="101" t="s">
        <v>920</v>
      </c>
      <c r="B347" s="191">
        <v>44835</v>
      </c>
      <c r="C347" s="101" t="s">
        <v>1136</v>
      </c>
      <c r="D347" s="366" t="s">
        <v>921</v>
      </c>
      <c r="E347" s="363">
        <v>3500</v>
      </c>
      <c r="F347" s="368"/>
      <c r="G347" s="416">
        <v>45107</v>
      </c>
      <c r="H347" s="245"/>
    </row>
    <row r="348" spans="1:8" hidden="1" x14ac:dyDescent="0.25">
      <c r="A348" s="101" t="s">
        <v>925</v>
      </c>
      <c r="B348" s="191">
        <v>45047</v>
      </c>
      <c r="C348" s="101" t="s">
        <v>1138</v>
      </c>
      <c r="D348" s="366" t="s">
        <v>1087</v>
      </c>
      <c r="E348" s="363">
        <v>3500</v>
      </c>
      <c r="F348" s="368"/>
      <c r="G348" s="416">
        <v>45107</v>
      </c>
      <c r="H348" s="245"/>
    </row>
    <row r="349" spans="1:8" ht="15" hidden="1" customHeight="1" x14ac:dyDescent="0.25">
      <c r="A349" s="101" t="s">
        <v>162</v>
      </c>
      <c r="B349" s="191">
        <v>44805</v>
      </c>
      <c r="C349" s="101" t="s">
        <v>1178</v>
      </c>
      <c r="D349" s="366" t="s">
        <v>930</v>
      </c>
      <c r="E349" s="566">
        <v>3500</v>
      </c>
      <c r="F349" s="368"/>
      <c r="G349" s="416">
        <v>45107</v>
      </c>
      <c r="H349" s="245"/>
    </row>
    <row r="350" spans="1:8" hidden="1" x14ac:dyDescent="0.25">
      <c r="A350" s="101" t="s">
        <v>742</v>
      </c>
      <c r="B350" s="191">
        <v>44896</v>
      </c>
      <c r="C350" s="101" t="s">
        <v>1131</v>
      </c>
      <c r="D350" s="366" t="s">
        <v>972</v>
      </c>
      <c r="E350" s="363">
        <v>3500</v>
      </c>
      <c r="F350" s="368"/>
      <c r="G350" s="416">
        <v>45169</v>
      </c>
      <c r="H350" s="245"/>
    </row>
    <row r="351" spans="1:8" hidden="1" x14ac:dyDescent="0.25">
      <c r="A351" s="101" t="s">
        <v>162</v>
      </c>
      <c r="B351" s="191">
        <v>44440</v>
      </c>
      <c r="C351" s="101" t="s">
        <v>1173</v>
      </c>
      <c r="D351" s="366" t="s">
        <v>699</v>
      </c>
      <c r="E351" s="363">
        <v>3500</v>
      </c>
      <c r="F351" s="359"/>
      <c r="G351" s="416">
        <v>45199</v>
      </c>
      <c r="H351" s="245"/>
    </row>
    <row r="352" spans="1:8" hidden="1" x14ac:dyDescent="0.25">
      <c r="A352" s="101" t="s">
        <v>105</v>
      </c>
      <c r="B352" s="191">
        <v>44986</v>
      </c>
      <c r="C352" s="101" t="s">
        <v>1137</v>
      </c>
      <c r="D352" s="366" t="s">
        <v>1043</v>
      </c>
      <c r="E352" s="363">
        <v>3500</v>
      </c>
      <c r="F352" s="359"/>
      <c r="G352" s="416">
        <v>45199</v>
      </c>
      <c r="H352" s="245"/>
    </row>
    <row r="353" spans="1:8" ht="15" hidden="1" customHeight="1" x14ac:dyDescent="0.25">
      <c r="A353" s="101" t="s">
        <v>730</v>
      </c>
      <c r="B353" s="191">
        <v>44517</v>
      </c>
      <c r="C353" s="101" t="s">
        <v>555</v>
      </c>
      <c r="D353" s="366" t="s">
        <v>749</v>
      </c>
      <c r="E353" s="363">
        <v>5000</v>
      </c>
      <c r="F353" s="359"/>
      <c r="G353" s="416">
        <v>45199</v>
      </c>
      <c r="H353" s="245"/>
    </row>
    <row r="354" spans="1:8" hidden="1" x14ac:dyDescent="0.25">
      <c r="A354" s="101" t="s">
        <v>156</v>
      </c>
      <c r="B354" s="191">
        <v>44958</v>
      </c>
      <c r="C354" s="101" t="s">
        <v>555</v>
      </c>
      <c r="D354" s="366" t="s">
        <v>1041</v>
      </c>
      <c r="E354" s="363">
        <v>3500</v>
      </c>
      <c r="F354" s="359"/>
      <c r="G354" s="416">
        <v>45199</v>
      </c>
      <c r="H354" s="245"/>
    </row>
    <row r="355" spans="1:8" hidden="1" x14ac:dyDescent="0.25">
      <c r="A355" s="101" t="s">
        <v>179</v>
      </c>
      <c r="B355" s="191">
        <v>44927</v>
      </c>
      <c r="C355" s="101" t="s">
        <v>1184</v>
      </c>
      <c r="D355" s="366" t="s">
        <v>1040</v>
      </c>
      <c r="E355" s="363">
        <v>3500</v>
      </c>
      <c r="F355" s="359"/>
      <c r="G355" s="416">
        <v>45199</v>
      </c>
      <c r="H355" s="245"/>
    </row>
    <row r="356" spans="1:8" s="538" customFormat="1" hidden="1" x14ac:dyDescent="0.25">
      <c r="A356" s="538" t="s">
        <v>179</v>
      </c>
      <c r="B356" s="568">
        <v>44927</v>
      </c>
      <c r="C356" s="538" t="s">
        <v>355</v>
      </c>
      <c r="D356" s="565" t="s">
        <v>1040</v>
      </c>
      <c r="E356" s="363">
        <v>25000</v>
      </c>
      <c r="F356" s="368"/>
      <c r="G356" s="416">
        <v>45230</v>
      </c>
      <c r="H356" s="569"/>
    </row>
    <row r="357" spans="1:8" s="538" customFormat="1" hidden="1" x14ac:dyDescent="0.25">
      <c r="A357" s="538" t="s">
        <v>596</v>
      </c>
      <c r="B357" s="568">
        <v>45108</v>
      </c>
      <c r="C357" s="538" t="s">
        <v>1220</v>
      </c>
      <c r="D357" s="565" t="s">
        <v>1198</v>
      </c>
      <c r="E357" s="363">
        <v>3500</v>
      </c>
      <c r="F357" s="368"/>
      <c r="G357" s="416">
        <v>45230</v>
      </c>
      <c r="H357" s="569"/>
    </row>
    <row r="358" spans="1:8" hidden="1" x14ac:dyDescent="0.25">
      <c r="A358" s="101" t="s">
        <v>162</v>
      </c>
      <c r="B358" s="191">
        <v>44805</v>
      </c>
      <c r="C358" s="101" t="s">
        <v>1175</v>
      </c>
      <c r="D358" s="565" t="s">
        <v>930</v>
      </c>
      <c r="E358" s="363">
        <v>3500</v>
      </c>
      <c r="F358" s="359"/>
      <c r="G358" s="416">
        <v>45260</v>
      </c>
      <c r="H358" s="245"/>
    </row>
    <row r="359" spans="1:8" hidden="1" x14ac:dyDescent="0.25">
      <c r="A359" s="538" t="s">
        <v>563</v>
      </c>
      <c r="B359" s="191">
        <v>45078</v>
      </c>
      <c r="C359" s="101" t="s">
        <v>1139</v>
      </c>
      <c r="D359" s="565" t="s">
        <v>1140</v>
      </c>
      <c r="E359" s="363">
        <v>5000</v>
      </c>
      <c r="F359" s="359"/>
      <c r="G359" s="416">
        <v>45260</v>
      </c>
      <c r="H359" s="245"/>
    </row>
    <row r="360" spans="1:8" hidden="1" x14ac:dyDescent="0.25">
      <c r="A360" s="538" t="s">
        <v>158</v>
      </c>
      <c r="B360" s="191">
        <v>45231</v>
      </c>
      <c r="C360" s="101" t="s">
        <v>1342</v>
      </c>
      <c r="D360" s="565" t="s">
        <v>1343</v>
      </c>
      <c r="E360" s="363">
        <v>3500</v>
      </c>
      <c r="F360" s="359"/>
      <c r="G360" s="416">
        <v>45260</v>
      </c>
      <c r="H360" s="245"/>
    </row>
    <row r="361" spans="1:8" hidden="1" x14ac:dyDescent="0.25">
      <c r="A361" s="538" t="s">
        <v>156</v>
      </c>
      <c r="B361" s="191">
        <v>45260</v>
      </c>
      <c r="C361" s="101" t="s">
        <v>991</v>
      </c>
      <c r="D361" s="565" t="s">
        <v>1375</v>
      </c>
      <c r="E361" s="363">
        <f>6000-2500</f>
        <v>3500</v>
      </c>
      <c r="F361" s="359"/>
      <c r="G361" s="416">
        <v>45291</v>
      </c>
      <c r="H361" s="245"/>
    </row>
    <row r="362" spans="1:8" hidden="1" x14ac:dyDescent="0.25">
      <c r="A362" s="538" t="s">
        <v>1223</v>
      </c>
      <c r="B362" s="191">
        <v>45176</v>
      </c>
      <c r="C362" s="538" t="s">
        <v>1224</v>
      </c>
      <c r="D362" s="565" t="s">
        <v>1225</v>
      </c>
      <c r="E362" s="363">
        <v>5000</v>
      </c>
      <c r="F362" s="359"/>
      <c r="G362" s="416">
        <v>45291</v>
      </c>
      <c r="H362" s="245"/>
    </row>
    <row r="363" spans="1:8" hidden="1" x14ac:dyDescent="0.25">
      <c r="A363" s="101" t="s">
        <v>151</v>
      </c>
      <c r="B363" s="191">
        <v>44805</v>
      </c>
      <c r="C363" s="361" t="s">
        <v>994</v>
      </c>
      <c r="D363" s="565" t="s">
        <v>938</v>
      </c>
      <c r="E363" s="363">
        <v>3500</v>
      </c>
      <c r="F363" s="359"/>
      <c r="G363" s="416">
        <v>45291</v>
      </c>
      <c r="H363" s="245"/>
    </row>
    <row r="364" spans="1:8" x14ac:dyDescent="0.25">
      <c r="A364" s="538" t="s">
        <v>792</v>
      </c>
      <c r="B364" s="191">
        <v>45308</v>
      </c>
      <c r="C364" s="538" t="s">
        <v>1479</v>
      </c>
      <c r="D364" s="565" t="s">
        <v>1458</v>
      </c>
      <c r="E364" s="363">
        <v>3500</v>
      </c>
      <c r="F364" s="368"/>
      <c r="G364" s="570">
        <v>45351</v>
      </c>
      <c r="H364" s="245"/>
    </row>
    <row r="365" spans="1:8" x14ac:dyDescent="0.25">
      <c r="A365" s="538" t="s">
        <v>156</v>
      </c>
      <c r="B365" s="191">
        <v>45260</v>
      </c>
      <c r="C365" s="101" t="s">
        <v>1428</v>
      </c>
      <c r="D365" s="565" t="s">
        <v>1375</v>
      </c>
      <c r="E365" s="363">
        <f>6000-3500</f>
        <v>2500</v>
      </c>
      <c r="F365" s="368"/>
      <c r="G365" s="570">
        <v>45351</v>
      </c>
      <c r="H365" s="245"/>
    </row>
    <row r="366" spans="1:8" x14ac:dyDescent="0.25">
      <c r="A366" s="538" t="s">
        <v>156</v>
      </c>
      <c r="B366" s="191">
        <v>45323</v>
      </c>
      <c r="C366" s="538" t="s">
        <v>1480</v>
      </c>
      <c r="D366" s="565" t="s">
        <v>1481</v>
      </c>
      <c r="E366" s="363"/>
      <c r="F366" s="364" t="s">
        <v>1627</v>
      </c>
      <c r="G366" s="570">
        <v>45351</v>
      </c>
      <c r="H366" s="245"/>
    </row>
    <row r="367" spans="1:8" s="204" customFormat="1" ht="15.75" customHeight="1" x14ac:dyDescent="0.25">
      <c r="A367" s="204" t="s">
        <v>596</v>
      </c>
      <c r="B367" s="357">
        <v>44743</v>
      </c>
      <c r="C367" s="250" t="s">
        <v>1174</v>
      </c>
      <c r="D367" s="362" t="s">
        <v>911</v>
      </c>
      <c r="E367" s="363">
        <v>3500</v>
      </c>
      <c r="F367" s="368"/>
      <c r="G367" s="570">
        <v>45351</v>
      </c>
      <c r="H367" s="245"/>
    </row>
    <row r="368" spans="1:8" s="538" customFormat="1" x14ac:dyDescent="0.25">
      <c r="A368" s="538" t="s">
        <v>162</v>
      </c>
      <c r="B368" s="568">
        <v>45170</v>
      </c>
      <c r="C368" s="538" t="s">
        <v>1341</v>
      </c>
      <c r="D368" s="565" t="s">
        <v>1301</v>
      </c>
      <c r="E368" s="363">
        <v>3500</v>
      </c>
      <c r="F368" s="368"/>
      <c r="G368" s="571">
        <v>45382</v>
      </c>
      <c r="H368" s="569"/>
    </row>
    <row r="369" spans="1:8" s="538" customFormat="1" x14ac:dyDescent="0.25">
      <c r="A369" s="538" t="s">
        <v>736</v>
      </c>
      <c r="B369" s="568">
        <v>45261</v>
      </c>
      <c r="C369" s="538" t="s">
        <v>1376</v>
      </c>
      <c r="D369" s="565" t="s">
        <v>1359</v>
      </c>
      <c r="E369" s="363">
        <v>3500</v>
      </c>
      <c r="F369" s="368"/>
      <c r="G369" s="571">
        <v>45382</v>
      </c>
      <c r="H369" s="569"/>
    </row>
    <row r="370" spans="1:8" s="538" customFormat="1" x14ac:dyDescent="0.25">
      <c r="A370" s="538" t="s">
        <v>763</v>
      </c>
      <c r="B370" s="568">
        <v>45292</v>
      </c>
      <c r="C370" s="538" t="s">
        <v>1473</v>
      </c>
      <c r="D370" s="565" t="s">
        <v>1429</v>
      </c>
      <c r="E370" s="363">
        <v>2500</v>
      </c>
      <c r="F370" s="368"/>
      <c r="G370" s="571">
        <v>45382</v>
      </c>
      <c r="H370" s="569"/>
    </row>
    <row r="371" spans="1:8" s="538" customFormat="1" x14ac:dyDescent="0.25">
      <c r="A371" s="538" t="s">
        <v>194</v>
      </c>
      <c r="B371" s="568">
        <v>45292</v>
      </c>
      <c r="C371" s="538" t="s">
        <v>1474</v>
      </c>
      <c r="D371" s="565" t="s">
        <v>1475</v>
      </c>
      <c r="E371" s="363">
        <v>3500</v>
      </c>
      <c r="F371" s="368"/>
      <c r="G371" s="571">
        <v>45382</v>
      </c>
      <c r="H371" s="569"/>
    </row>
    <row r="372" spans="1:8" s="538" customFormat="1" x14ac:dyDescent="0.25">
      <c r="A372" s="538" t="s">
        <v>1196</v>
      </c>
      <c r="B372" s="568">
        <v>45292</v>
      </c>
      <c r="C372" s="538" t="s">
        <v>1220</v>
      </c>
      <c r="D372" s="655" t="s">
        <v>1352</v>
      </c>
      <c r="E372" s="363">
        <v>3500</v>
      </c>
      <c r="F372" s="368"/>
      <c r="G372" s="571">
        <v>45412</v>
      </c>
      <c r="H372" s="569"/>
    </row>
    <row r="373" spans="1:8" ht="15.75" thickBot="1" x14ac:dyDescent="0.3">
      <c r="B373" s="191"/>
      <c r="E373" s="417">
        <f>SUM(E364:E372)</f>
        <v>26000</v>
      </c>
      <c r="F373" s="225"/>
      <c r="G373" s="397"/>
    </row>
    <row r="374" spans="1:8" ht="15.75" thickTop="1" x14ac:dyDescent="0.25">
      <c r="A374" s="163" t="s">
        <v>503</v>
      </c>
      <c r="B374" s="191"/>
      <c r="E374" s="387"/>
      <c r="F374" s="225"/>
      <c r="G374" s="397"/>
    </row>
    <row r="375" spans="1:8" hidden="1" x14ac:dyDescent="0.25">
      <c r="A375" s="101" t="s">
        <v>466</v>
      </c>
      <c r="B375" s="191">
        <v>43754</v>
      </c>
      <c r="C375" s="101" t="s">
        <v>350</v>
      </c>
      <c r="D375" s="101" t="s">
        <v>183</v>
      </c>
      <c r="E375" s="387">
        <f>1666.67</f>
        <v>1666.67</v>
      </c>
      <c r="F375" s="225"/>
      <c r="G375" s="397">
        <v>44043</v>
      </c>
      <c r="H375" s="101" t="s">
        <v>504</v>
      </c>
    </row>
    <row r="376" spans="1:8" hidden="1" x14ac:dyDescent="0.25">
      <c r="A376" s="101" t="s">
        <v>466</v>
      </c>
      <c r="B376" s="191">
        <v>43754</v>
      </c>
      <c r="C376" s="101" t="s">
        <v>350</v>
      </c>
      <c r="D376" s="101" t="s">
        <v>183</v>
      </c>
      <c r="E376" s="387">
        <f>1666.67</f>
        <v>1666.67</v>
      </c>
      <c r="F376" s="225"/>
      <c r="G376" s="397">
        <v>44074</v>
      </c>
      <c r="H376" s="101" t="s">
        <v>505</v>
      </c>
    </row>
    <row r="377" spans="1:8" hidden="1" x14ac:dyDescent="0.25">
      <c r="A377" s="101" t="s">
        <v>466</v>
      </c>
      <c r="B377" s="191">
        <v>43754</v>
      </c>
      <c r="C377" s="101" t="s">
        <v>350</v>
      </c>
      <c r="D377" s="101" t="s">
        <v>183</v>
      </c>
      <c r="E377" s="387">
        <f>1666.67</f>
        <v>1666.67</v>
      </c>
      <c r="F377" s="225"/>
      <c r="G377" s="397">
        <v>44104</v>
      </c>
      <c r="H377" s="101" t="s">
        <v>506</v>
      </c>
    </row>
    <row r="378" spans="1:8" hidden="1" x14ac:dyDescent="0.25">
      <c r="A378" s="101" t="s">
        <v>466</v>
      </c>
      <c r="B378" s="191">
        <v>43754</v>
      </c>
      <c r="C378" s="101" t="s">
        <v>350</v>
      </c>
      <c r="D378" s="101" t="s">
        <v>183</v>
      </c>
      <c r="E378" s="387">
        <f>1666.67</f>
        <v>1666.67</v>
      </c>
      <c r="F378" s="225"/>
      <c r="G378" s="397">
        <v>44135</v>
      </c>
      <c r="H378" s="101" t="s">
        <v>507</v>
      </c>
    </row>
    <row r="379" spans="1:8" hidden="1" x14ac:dyDescent="0.25">
      <c r="A379" s="101" t="s">
        <v>466</v>
      </c>
      <c r="B379" s="191">
        <v>43754</v>
      </c>
      <c r="C379" s="101" t="s">
        <v>350</v>
      </c>
      <c r="D379" s="101" t="s">
        <v>183</v>
      </c>
      <c r="E379" s="387">
        <f>1666.67</f>
        <v>1666.67</v>
      </c>
      <c r="F379" s="225"/>
      <c r="G379" s="397">
        <v>44165</v>
      </c>
      <c r="H379" s="101" t="s">
        <v>508</v>
      </c>
    </row>
    <row r="380" spans="1:8" hidden="1" x14ac:dyDescent="0.25">
      <c r="A380" s="101" t="s">
        <v>466</v>
      </c>
      <c r="B380" s="191">
        <v>43754</v>
      </c>
      <c r="C380" s="101" t="s">
        <v>350</v>
      </c>
      <c r="D380" s="101" t="s">
        <v>183</v>
      </c>
      <c r="E380" s="387">
        <f>10000-(1666.67*5)</f>
        <v>1666.6499999999996</v>
      </c>
      <c r="F380" s="364"/>
      <c r="G380" s="397">
        <v>44196</v>
      </c>
      <c r="H380" s="101" t="s">
        <v>509</v>
      </c>
    </row>
    <row r="381" spans="1:8" hidden="1" x14ac:dyDescent="0.25">
      <c r="A381" s="101" t="s">
        <v>439</v>
      </c>
      <c r="B381" s="191">
        <v>44105</v>
      </c>
      <c r="C381" s="101" t="s">
        <v>502</v>
      </c>
      <c r="D381" s="101" t="s">
        <v>431</v>
      </c>
      <c r="E381" s="387">
        <f>4500/12</f>
        <v>375</v>
      </c>
      <c r="F381" s="364"/>
      <c r="G381" s="397">
        <v>44227</v>
      </c>
      <c r="H381" s="101" t="s">
        <v>542</v>
      </c>
    </row>
    <row r="382" spans="1:8" hidden="1" x14ac:dyDescent="0.25">
      <c r="A382" s="101" t="s">
        <v>458</v>
      </c>
      <c r="B382" s="191">
        <v>44167</v>
      </c>
      <c r="C382" s="101" t="s">
        <v>480</v>
      </c>
      <c r="D382" s="101" t="s">
        <v>481</v>
      </c>
      <c r="E382" s="387">
        <f>12000/12</f>
        <v>1000</v>
      </c>
      <c r="F382" s="364"/>
      <c r="G382" s="397">
        <v>44227</v>
      </c>
      <c r="H382" s="101" t="s">
        <v>542</v>
      </c>
    </row>
    <row r="383" spans="1:8" hidden="1" x14ac:dyDescent="0.25">
      <c r="A383" s="101" t="s">
        <v>458</v>
      </c>
      <c r="B383" s="191">
        <v>44167</v>
      </c>
      <c r="C383" s="101" t="s">
        <v>482</v>
      </c>
      <c r="D383" s="101" t="s">
        <v>481</v>
      </c>
      <c r="E383" s="387">
        <f>3000/6</f>
        <v>500</v>
      </c>
      <c r="F383" s="364"/>
      <c r="G383" s="397">
        <v>44227</v>
      </c>
      <c r="H383" s="101" t="s">
        <v>504</v>
      </c>
    </row>
    <row r="384" spans="1:8" hidden="1" x14ac:dyDescent="0.25">
      <c r="A384" s="101" t="s">
        <v>439</v>
      </c>
      <c r="B384" s="191">
        <v>44105</v>
      </c>
      <c r="C384" s="101" t="s">
        <v>502</v>
      </c>
      <c r="D384" s="101" t="s">
        <v>431</v>
      </c>
      <c r="E384" s="387">
        <f>4500/12</f>
        <v>375</v>
      </c>
      <c r="F384" s="364"/>
      <c r="G384" s="397">
        <v>44255</v>
      </c>
      <c r="H384" s="101" t="s">
        <v>574</v>
      </c>
    </row>
    <row r="385" spans="1:8" hidden="1" x14ac:dyDescent="0.25">
      <c r="A385" s="101" t="s">
        <v>458</v>
      </c>
      <c r="B385" s="191">
        <v>44167</v>
      </c>
      <c r="C385" s="101" t="s">
        <v>480</v>
      </c>
      <c r="D385" s="101" t="s">
        <v>481</v>
      </c>
      <c r="E385" s="387">
        <f>12000/12</f>
        <v>1000</v>
      </c>
      <c r="F385" s="364"/>
      <c r="G385" s="397">
        <v>44255</v>
      </c>
      <c r="H385" s="101" t="s">
        <v>574</v>
      </c>
    </row>
    <row r="386" spans="1:8" hidden="1" x14ac:dyDescent="0.25">
      <c r="A386" s="101" t="s">
        <v>458</v>
      </c>
      <c r="B386" s="191">
        <v>44167</v>
      </c>
      <c r="C386" s="101" t="s">
        <v>482</v>
      </c>
      <c r="D386" s="101" t="s">
        <v>481</v>
      </c>
      <c r="E386" s="387">
        <f>3000/6</f>
        <v>500</v>
      </c>
      <c r="F386" s="364"/>
      <c r="G386" s="397">
        <v>44255</v>
      </c>
      <c r="H386" s="101" t="s">
        <v>505</v>
      </c>
    </row>
    <row r="387" spans="1:8" hidden="1" x14ac:dyDescent="0.25">
      <c r="A387" s="101" t="s">
        <v>439</v>
      </c>
      <c r="B387" s="191">
        <v>44105</v>
      </c>
      <c r="C387" s="101" t="s">
        <v>502</v>
      </c>
      <c r="D387" s="101" t="s">
        <v>431</v>
      </c>
      <c r="E387" s="387">
        <f>4500/12</f>
        <v>375</v>
      </c>
      <c r="F387" s="364"/>
      <c r="G387" s="397">
        <v>44286</v>
      </c>
      <c r="H387" s="101" t="s">
        <v>589</v>
      </c>
    </row>
    <row r="388" spans="1:8" hidden="1" x14ac:dyDescent="0.25">
      <c r="A388" s="101" t="s">
        <v>458</v>
      </c>
      <c r="B388" s="191">
        <v>44167</v>
      </c>
      <c r="C388" s="101" t="s">
        <v>480</v>
      </c>
      <c r="D388" s="101" t="s">
        <v>481</v>
      </c>
      <c r="E388" s="387">
        <f>12000/12</f>
        <v>1000</v>
      </c>
      <c r="F388" s="364"/>
      <c r="G388" s="397">
        <v>44286</v>
      </c>
      <c r="H388" s="101" t="s">
        <v>589</v>
      </c>
    </row>
    <row r="389" spans="1:8" hidden="1" x14ac:dyDescent="0.25">
      <c r="A389" s="101" t="s">
        <v>458</v>
      </c>
      <c r="B389" s="191">
        <v>44167</v>
      </c>
      <c r="C389" s="101" t="s">
        <v>482</v>
      </c>
      <c r="D389" s="101" t="s">
        <v>481</v>
      </c>
      <c r="E389" s="387">
        <f>3000/6</f>
        <v>500</v>
      </c>
      <c r="F389" s="364"/>
      <c r="G389" s="397">
        <v>44286</v>
      </c>
      <c r="H389" s="101" t="s">
        <v>506</v>
      </c>
    </row>
    <row r="390" spans="1:8" hidden="1" x14ac:dyDescent="0.25">
      <c r="A390" s="101" t="s">
        <v>439</v>
      </c>
      <c r="B390" s="191">
        <v>44105</v>
      </c>
      <c r="C390" s="101" t="s">
        <v>502</v>
      </c>
      <c r="D390" s="101" t="s">
        <v>431</v>
      </c>
      <c r="E390" s="387">
        <f>4500/12</f>
        <v>375</v>
      </c>
      <c r="F390" s="364"/>
      <c r="G390" s="397">
        <v>44316</v>
      </c>
      <c r="H390" s="101" t="s">
        <v>611</v>
      </c>
    </row>
    <row r="391" spans="1:8" hidden="1" x14ac:dyDescent="0.25">
      <c r="A391" s="101" t="s">
        <v>458</v>
      </c>
      <c r="B391" s="191">
        <v>44167</v>
      </c>
      <c r="C391" s="101" t="s">
        <v>480</v>
      </c>
      <c r="D391" s="101" t="s">
        <v>481</v>
      </c>
      <c r="E391" s="387">
        <f>12000/12</f>
        <v>1000</v>
      </c>
      <c r="F391" s="364"/>
      <c r="G391" s="397">
        <v>44316</v>
      </c>
      <c r="H391" s="101" t="s">
        <v>611</v>
      </c>
    </row>
    <row r="392" spans="1:8" hidden="1" x14ac:dyDescent="0.25">
      <c r="A392" s="101" t="s">
        <v>458</v>
      </c>
      <c r="B392" s="191">
        <v>44167</v>
      </c>
      <c r="C392" s="101" t="s">
        <v>482</v>
      </c>
      <c r="D392" s="101" t="s">
        <v>481</v>
      </c>
      <c r="E392" s="387">
        <f>3000/6</f>
        <v>500</v>
      </c>
      <c r="F392" s="364"/>
      <c r="G392" s="397">
        <v>44316</v>
      </c>
      <c r="H392" s="101" t="s">
        <v>507</v>
      </c>
    </row>
    <row r="393" spans="1:8" hidden="1" x14ac:dyDescent="0.25">
      <c r="A393" s="101" t="s">
        <v>483</v>
      </c>
      <c r="B393" s="191">
        <v>44287</v>
      </c>
      <c r="C393" s="381" t="s">
        <v>607</v>
      </c>
      <c r="D393" s="101" t="s">
        <v>500</v>
      </c>
      <c r="E393" s="564">
        <f>8000/8</f>
        <v>1000</v>
      </c>
      <c r="F393" s="387"/>
      <c r="G393" s="397">
        <v>44316</v>
      </c>
      <c r="H393" s="245" t="s">
        <v>612</v>
      </c>
    </row>
    <row r="394" spans="1:8" hidden="1" x14ac:dyDescent="0.25">
      <c r="A394" s="101" t="s">
        <v>608</v>
      </c>
      <c r="B394" s="191">
        <v>44301</v>
      </c>
      <c r="C394" s="381" t="s">
        <v>609</v>
      </c>
      <c r="D394" s="101" t="s">
        <v>610</v>
      </c>
      <c r="E394" s="522">
        <f>3000/12</f>
        <v>250</v>
      </c>
      <c r="F394" s="387"/>
      <c r="G394" s="397">
        <v>44316</v>
      </c>
      <c r="H394" s="245" t="s">
        <v>542</v>
      </c>
    </row>
    <row r="395" spans="1:8" hidden="1" x14ac:dyDescent="0.25">
      <c r="A395" s="101" t="s">
        <v>439</v>
      </c>
      <c r="B395" s="191">
        <v>44105</v>
      </c>
      <c r="C395" s="101" t="s">
        <v>502</v>
      </c>
      <c r="D395" s="101" t="s">
        <v>431</v>
      </c>
      <c r="E395" s="387">
        <f>4500/12</f>
        <v>375</v>
      </c>
      <c r="F395" s="364"/>
      <c r="G395" s="397">
        <v>44347</v>
      </c>
      <c r="H395" s="101" t="s">
        <v>619</v>
      </c>
    </row>
    <row r="396" spans="1:8" hidden="1" x14ac:dyDescent="0.25">
      <c r="A396" s="101" t="s">
        <v>458</v>
      </c>
      <c r="B396" s="191">
        <v>44167</v>
      </c>
      <c r="C396" s="101" t="s">
        <v>480</v>
      </c>
      <c r="D396" s="101" t="s">
        <v>481</v>
      </c>
      <c r="E396" s="387">
        <f>12000/12</f>
        <v>1000</v>
      </c>
      <c r="F396" s="364"/>
      <c r="G396" s="397">
        <v>44347</v>
      </c>
      <c r="H396" s="101" t="s">
        <v>619</v>
      </c>
    </row>
    <row r="397" spans="1:8" hidden="1" x14ac:dyDescent="0.25">
      <c r="A397" s="101" t="s">
        <v>458</v>
      </c>
      <c r="B397" s="191">
        <v>44167</v>
      </c>
      <c r="C397" s="101" t="s">
        <v>482</v>
      </c>
      <c r="D397" s="101" t="s">
        <v>481</v>
      </c>
      <c r="E397" s="387">
        <f>3000/6</f>
        <v>500</v>
      </c>
      <c r="F397" s="364"/>
      <c r="G397" s="397">
        <v>44347</v>
      </c>
      <c r="H397" s="101" t="s">
        <v>508</v>
      </c>
    </row>
    <row r="398" spans="1:8" hidden="1" x14ac:dyDescent="0.25">
      <c r="A398" s="101" t="s">
        <v>483</v>
      </c>
      <c r="B398" s="191">
        <v>44287</v>
      </c>
      <c r="C398" s="381" t="s">
        <v>607</v>
      </c>
      <c r="D398" s="101" t="s">
        <v>500</v>
      </c>
      <c r="E398" s="564">
        <f>8000/8</f>
        <v>1000</v>
      </c>
      <c r="F398" s="387"/>
      <c r="G398" s="397">
        <v>44347</v>
      </c>
      <c r="H398" s="245" t="s">
        <v>620</v>
      </c>
    </row>
    <row r="399" spans="1:8" hidden="1" x14ac:dyDescent="0.25">
      <c r="A399" s="101" t="s">
        <v>608</v>
      </c>
      <c r="B399" s="191">
        <v>44301</v>
      </c>
      <c r="C399" s="381" t="s">
        <v>609</v>
      </c>
      <c r="D399" s="101" t="s">
        <v>610</v>
      </c>
      <c r="E399" s="522">
        <f>3000/12</f>
        <v>250</v>
      </c>
      <c r="F399" s="387"/>
      <c r="G399" s="397">
        <v>44347</v>
      </c>
      <c r="H399" s="245" t="s">
        <v>574</v>
      </c>
    </row>
    <row r="400" spans="1:8" hidden="1" x14ac:dyDescent="0.25">
      <c r="A400" s="101" t="s">
        <v>439</v>
      </c>
      <c r="B400" s="191">
        <v>44105</v>
      </c>
      <c r="C400" s="101" t="s">
        <v>502</v>
      </c>
      <c r="D400" s="101" t="s">
        <v>431</v>
      </c>
      <c r="E400" s="387">
        <f>4500/12</f>
        <v>375</v>
      </c>
      <c r="F400" s="364"/>
      <c r="G400" s="397">
        <v>44377</v>
      </c>
      <c r="H400" s="101" t="s">
        <v>648</v>
      </c>
    </row>
    <row r="401" spans="1:8" hidden="1" x14ac:dyDescent="0.25">
      <c r="A401" s="101" t="s">
        <v>458</v>
      </c>
      <c r="B401" s="191">
        <v>44167</v>
      </c>
      <c r="C401" s="101" t="s">
        <v>480</v>
      </c>
      <c r="D401" s="101" t="s">
        <v>481</v>
      </c>
      <c r="E401" s="387">
        <f>12000/12</f>
        <v>1000</v>
      </c>
      <c r="F401" s="364"/>
      <c r="G401" s="397">
        <v>44377</v>
      </c>
      <c r="H401" s="101" t="s">
        <v>648</v>
      </c>
    </row>
    <row r="402" spans="1:8" hidden="1" x14ac:dyDescent="0.25">
      <c r="A402" s="101" t="s">
        <v>458</v>
      </c>
      <c r="B402" s="191">
        <v>44167</v>
      </c>
      <c r="C402" s="101" t="s">
        <v>482</v>
      </c>
      <c r="D402" s="101" t="s">
        <v>481</v>
      </c>
      <c r="E402" s="387">
        <f>3000/6</f>
        <v>500</v>
      </c>
      <c r="F402" s="364"/>
      <c r="G402" s="397">
        <v>44377</v>
      </c>
      <c r="H402" s="101" t="s">
        <v>509</v>
      </c>
    </row>
    <row r="403" spans="1:8" hidden="1" x14ac:dyDescent="0.25">
      <c r="A403" s="101" t="s">
        <v>483</v>
      </c>
      <c r="B403" s="191">
        <v>44287</v>
      </c>
      <c r="C403" s="381" t="s">
        <v>607</v>
      </c>
      <c r="D403" s="101" t="s">
        <v>500</v>
      </c>
      <c r="E403" s="564">
        <f>8000/8</f>
        <v>1000</v>
      </c>
      <c r="F403" s="387"/>
      <c r="G403" s="397">
        <v>44377</v>
      </c>
      <c r="H403" s="245" t="s">
        <v>649</v>
      </c>
    </row>
    <row r="404" spans="1:8" hidden="1" x14ac:dyDescent="0.25">
      <c r="A404" s="101" t="s">
        <v>608</v>
      </c>
      <c r="B404" s="191">
        <v>44301</v>
      </c>
      <c r="C404" s="381" t="s">
        <v>609</v>
      </c>
      <c r="D404" s="101" t="s">
        <v>610</v>
      </c>
      <c r="E404" s="522">
        <f>3000/12</f>
        <v>250</v>
      </c>
      <c r="F404" s="387"/>
      <c r="G404" s="397">
        <v>44377</v>
      </c>
      <c r="H404" s="245" t="s">
        <v>589</v>
      </c>
    </row>
    <row r="405" spans="1:8" hidden="1" x14ac:dyDescent="0.25">
      <c r="A405" s="101" t="s">
        <v>576</v>
      </c>
      <c r="B405" s="191">
        <v>44342</v>
      </c>
      <c r="C405" s="101" t="s">
        <v>617</v>
      </c>
      <c r="D405" s="101" t="s">
        <v>618</v>
      </c>
      <c r="E405" s="522">
        <f>ROUND(2500/12,2)</f>
        <v>208.33</v>
      </c>
      <c r="F405" s="387"/>
      <c r="G405" s="397">
        <v>44377</v>
      </c>
      <c r="H405" s="245" t="s">
        <v>542</v>
      </c>
    </row>
    <row r="406" spans="1:8" hidden="1" x14ac:dyDescent="0.25">
      <c r="A406" s="101" t="s">
        <v>179</v>
      </c>
      <c r="B406" s="191">
        <v>44197</v>
      </c>
      <c r="C406" s="381" t="s">
        <v>567</v>
      </c>
      <c r="D406" s="101" t="s">
        <v>544</v>
      </c>
      <c r="E406" s="522">
        <f>7500/3</f>
        <v>2500</v>
      </c>
      <c r="F406" s="387"/>
      <c r="G406" s="397">
        <v>44377</v>
      </c>
      <c r="H406" s="245" t="s">
        <v>703</v>
      </c>
    </row>
    <row r="407" spans="1:8" hidden="1" x14ac:dyDescent="0.25">
      <c r="A407" s="101" t="s">
        <v>439</v>
      </c>
      <c r="B407" s="191">
        <v>44105</v>
      </c>
      <c r="C407" s="101" t="s">
        <v>502</v>
      </c>
      <c r="D407" s="101" t="s">
        <v>431</v>
      </c>
      <c r="E407" s="387">
        <f>4500/12</f>
        <v>375</v>
      </c>
      <c r="F407" s="364"/>
      <c r="G407" s="397">
        <v>44408</v>
      </c>
      <c r="H407" s="101" t="s">
        <v>670</v>
      </c>
    </row>
    <row r="408" spans="1:8" hidden="1" x14ac:dyDescent="0.25">
      <c r="A408" s="101" t="s">
        <v>458</v>
      </c>
      <c r="B408" s="191">
        <v>44167</v>
      </c>
      <c r="C408" s="101" t="s">
        <v>480</v>
      </c>
      <c r="D408" s="101" t="s">
        <v>481</v>
      </c>
      <c r="E408" s="387">
        <f>12000/12</f>
        <v>1000</v>
      </c>
      <c r="F408" s="364"/>
      <c r="G408" s="397">
        <v>44408</v>
      </c>
      <c r="H408" s="101" t="s">
        <v>670</v>
      </c>
    </row>
    <row r="409" spans="1:8" hidden="1" x14ac:dyDescent="0.25">
      <c r="A409" s="101" t="s">
        <v>483</v>
      </c>
      <c r="B409" s="191">
        <v>44287</v>
      </c>
      <c r="C409" s="381" t="s">
        <v>607</v>
      </c>
      <c r="D409" s="101" t="s">
        <v>500</v>
      </c>
      <c r="E409" s="564">
        <f>8000/8</f>
        <v>1000</v>
      </c>
      <c r="F409" s="387"/>
      <c r="G409" s="397">
        <v>44408</v>
      </c>
      <c r="H409" s="245" t="s">
        <v>671</v>
      </c>
    </row>
    <row r="410" spans="1:8" hidden="1" x14ac:dyDescent="0.25">
      <c r="A410" s="101" t="s">
        <v>608</v>
      </c>
      <c r="B410" s="191">
        <v>44301</v>
      </c>
      <c r="C410" s="381" t="s">
        <v>609</v>
      </c>
      <c r="D410" s="101" t="s">
        <v>610</v>
      </c>
      <c r="E410" s="522">
        <f>3000/12</f>
        <v>250</v>
      </c>
      <c r="F410" s="387"/>
      <c r="G410" s="397">
        <v>44408</v>
      </c>
      <c r="H410" s="245" t="s">
        <v>611</v>
      </c>
    </row>
    <row r="411" spans="1:8" hidden="1" x14ac:dyDescent="0.25">
      <c r="A411" s="101" t="s">
        <v>576</v>
      </c>
      <c r="B411" s="191">
        <v>44342</v>
      </c>
      <c r="C411" s="101" t="s">
        <v>617</v>
      </c>
      <c r="D411" s="101" t="s">
        <v>618</v>
      </c>
      <c r="E411" s="522">
        <f>ROUND(2500/12,2)</f>
        <v>208.33</v>
      </c>
      <c r="F411" s="387"/>
      <c r="G411" s="397">
        <v>44408</v>
      </c>
      <c r="H411" s="245" t="s">
        <v>574</v>
      </c>
    </row>
    <row r="412" spans="1:8" hidden="1" x14ac:dyDescent="0.25">
      <c r="A412" s="101" t="s">
        <v>179</v>
      </c>
      <c r="B412" s="191">
        <v>44197</v>
      </c>
      <c r="C412" s="381" t="s">
        <v>567</v>
      </c>
      <c r="D412" s="101" t="s">
        <v>544</v>
      </c>
      <c r="E412" s="522">
        <f>7500/3</f>
        <v>2500</v>
      </c>
      <c r="F412" s="387"/>
      <c r="G412" s="397">
        <v>44408</v>
      </c>
      <c r="H412" s="245" t="s">
        <v>704</v>
      </c>
    </row>
    <row r="413" spans="1:8" hidden="1" x14ac:dyDescent="0.25">
      <c r="A413" s="101" t="s">
        <v>439</v>
      </c>
      <c r="B413" s="191">
        <v>44105</v>
      </c>
      <c r="C413" s="101" t="s">
        <v>502</v>
      </c>
      <c r="D413" s="101" t="s">
        <v>431</v>
      </c>
      <c r="E413" s="387">
        <f>4500/12</f>
        <v>375</v>
      </c>
      <c r="F413" s="364"/>
      <c r="G413" s="397">
        <v>44439</v>
      </c>
      <c r="H413" s="101" t="s">
        <v>686</v>
      </c>
    </row>
    <row r="414" spans="1:8" hidden="1" x14ac:dyDescent="0.25">
      <c r="A414" s="101" t="s">
        <v>458</v>
      </c>
      <c r="B414" s="191">
        <v>44167</v>
      </c>
      <c r="C414" s="101" t="s">
        <v>480</v>
      </c>
      <c r="D414" s="101" t="s">
        <v>481</v>
      </c>
      <c r="E414" s="387">
        <f>12000/12</f>
        <v>1000</v>
      </c>
      <c r="F414" s="364"/>
      <c r="G414" s="397">
        <v>44439</v>
      </c>
      <c r="H414" s="101" t="s">
        <v>686</v>
      </c>
    </row>
    <row r="415" spans="1:8" hidden="1" x14ac:dyDescent="0.25">
      <c r="A415" s="101" t="s">
        <v>483</v>
      </c>
      <c r="B415" s="191">
        <v>44287</v>
      </c>
      <c r="C415" s="381" t="s">
        <v>607</v>
      </c>
      <c r="D415" s="101" t="s">
        <v>500</v>
      </c>
      <c r="E415" s="564">
        <f>8000/8</f>
        <v>1000</v>
      </c>
      <c r="F415" s="387"/>
      <c r="G415" s="397">
        <v>44439</v>
      </c>
      <c r="H415" s="245" t="s">
        <v>687</v>
      </c>
    </row>
    <row r="416" spans="1:8" hidden="1" x14ac:dyDescent="0.25">
      <c r="A416" s="101" t="s">
        <v>608</v>
      </c>
      <c r="B416" s="191">
        <v>44301</v>
      </c>
      <c r="C416" s="381" t="s">
        <v>609</v>
      </c>
      <c r="D416" s="101" t="s">
        <v>610</v>
      </c>
      <c r="E416" s="522">
        <f>3000/12</f>
        <v>250</v>
      </c>
      <c r="F416" s="387"/>
      <c r="G416" s="397">
        <v>44439</v>
      </c>
      <c r="H416" s="245" t="s">
        <v>619</v>
      </c>
    </row>
    <row r="417" spans="1:8" hidden="1" x14ac:dyDescent="0.25">
      <c r="A417" s="101" t="s">
        <v>576</v>
      </c>
      <c r="B417" s="191">
        <v>44342</v>
      </c>
      <c r="C417" s="101" t="s">
        <v>617</v>
      </c>
      <c r="D417" s="101" t="s">
        <v>618</v>
      </c>
      <c r="E417" s="522">
        <f>ROUND(2500/12,2)</f>
        <v>208.33</v>
      </c>
      <c r="F417" s="387"/>
      <c r="G417" s="397">
        <v>44439</v>
      </c>
      <c r="H417" s="245" t="s">
        <v>589</v>
      </c>
    </row>
    <row r="418" spans="1:8" hidden="1" x14ac:dyDescent="0.25">
      <c r="A418" s="101" t="s">
        <v>179</v>
      </c>
      <c r="B418" s="191">
        <v>44197</v>
      </c>
      <c r="C418" s="381" t="s">
        <v>567</v>
      </c>
      <c r="D418" s="101" t="s">
        <v>544</v>
      </c>
      <c r="E418" s="522">
        <f>7500/3</f>
        <v>2500</v>
      </c>
      <c r="F418" s="387"/>
      <c r="G418" s="397">
        <v>44439</v>
      </c>
      <c r="H418" s="245" t="s">
        <v>705</v>
      </c>
    </row>
    <row r="419" spans="1:8" hidden="1" x14ac:dyDescent="0.25">
      <c r="A419" s="101" t="s">
        <v>439</v>
      </c>
      <c r="B419" s="191">
        <v>44105</v>
      </c>
      <c r="C419" s="101" t="s">
        <v>502</v>
      </c>
      <c r="D419" s="101" t="s">
        <v>431</v>
      </c>
      <c r="E419" s="387">
        <f>4500/12</f>
        <v>375</v>
      </c>
      <c r="F419" s="364"/>
      <c r="G419" s="397">
        <v>44469</v>
      </c>
      <c r="H419" s="101" t="s">
        <v>706</v>
      </c>
    </row>
    <row r="420" spans="1:8" hidden="1" x14ac:dyDescent="0.25">
      <c r="A420" s="101" t="s">
        <v>458</v>
      </c>
      <c r="B420" s="191">
        <v>44167</v>
      </c>
      <c r="C420" s="101" t="s">
        <v>480</v>
      </c>
      <c r="D420" s="101" t="s">
        <v>481</v>
      </c>
      <c r="E420" s="387">
        <f>12000/12</f>
        <v>1000</v>
      </c>
      <c r="F420" s="364"/>
      <c r="G420" s="397">
        <v>44469</v>
      </c>
      <c r="H420" s="101" t="s">
        <v>706</v>
      </c>
    </row>
    <row r="421" spans="1:8" hidden="1" x14ac:dyDescent="0.25">
      <c r="A421" s="101" t="s">
        <v>483</v>
      </c>
      <c r="B421" s="191">
        <v>44287</v>
      </c>
      <c r="C421" s="381" t="s">
        <v>607</v>
      </c>
      <c r="D421" s="101" t="s">
        <v>500</v>
      </c>
      <c r="E421" s="564">
        <f>8000/8</f>
        <v>1000</v>
      </c>
      <c r="F421" s="387"/>
      <c r="G421" s="397">
        <v>44469</v>
      </c>
      <c r="H421" s="245" t="s">
        <v>707</v>
      </c>
    </row>
    <row r="422" spans="1:8" hidden="1" x14ac:dyDescent="0.25">
      <c r="A422" s="101" t="s">
        <v>608</v>
      </c>
      <c r="B422" s="191">
        <v>44301</v>
      </c>
      <c r="C422" s="381" t="s">
        <v>609</v>
      </c>
      <c r="D422" s="101" t="s">
        <v>610</v>
      </c>
      <c r="E422" s="564">
        <f>3000/12</f>
        <v>250</v>
      </c>
      <c r="F422" s="387"/>
      <c r="G422" s="397">
        <v>44469</v>
      </c>
      <c r="H422" s="245" t="s">
        <v>648</v>
      </c>
    </row>
    <row r="423" spans="1:8" hidden="1" x14ac:dyDescent="0.25">
      <c r="A423" s="101" t="s">
        <v>576</v>
      </c>
      <c r="B423" s="191">
        <v>44342</v>
      </c>
      <c r="C423" s="101" t="s">
        <v>617</v>
      </c>
      <c r="D423" s="101" t="s">
        <v>618</v>
      </c>
      <c r="E423" s="564">
        <f>ROUND(2500/12,2)</f>
        <v>208.33</v>
      </c>
      <c r="F423" s="387"/>
      <c r="G423" s="397">
        <v>44469</v>
      </c>
      <c r="H423" s="245" t="s">
        <v>611</v>
      </c>
    </row>
    <row r="424" spans="1:8" hidden="1" x14ac:dyDescent="0.25">
      <c r="A424" s="101" t="s">
        <v>439</v>
      </c>
      <c r="B424" s="191">
        <v>44105</v>
      </c>
      <c r="C424" s="101" t="s">
        <v>502</v>
      </c>
      <c r="D424" s="101" t="s">
        <v>431</v>
      </c>
      <c r="E424" s="387">
        <f>4500/12</f>
        <v>375</v>
      </c>
      <c r="F424" s="364"/>
      <c r="G424" s="397">
        <v>44500</v>
      </c>
      <c r="H424" s="101" t="s">
        <v>715</v>
      </c>
    </row>
    <row r="425" spans="1:8" hidden="1" x14ac:dyDescent="0.25">
      <c r="A425" s="101" t="s">
        <v>458</v>
      </c>
      <c r="B425" s="191">
        <v>44167</v>
      </c>
      <c r="C425" s="101" t="s">
        <v>480</v>
      </c>
      <c r="D425" s="101" t="s">
        <v>481</v>
      </c>
      <c r="E425" s="387">
        <f>12000/12</f>
        <v>1000</v>
      </c>
      <c r="F425" s="364"/>
      <c r="G425" s="397">
        <v>44500</v>
      </c>
      <c r="H425" s="101" t="s">
        <v>715</v>
      </c>
    </row>
    <row r="426" spans="1:8" hidden="1" x14ac:dyDescent="0.25">
      <c r="A426" s="101" t="s">
        <v>483</v>
      </c>
      <c r="B426" s="191">
        <v>44287</v>
      </c>
      <c r="C426" s="381" t="s">
        <v>607</v>
      </c>
      <c r="D426" s="101" t="s">
        <v>500</v>
      </c>
      <c r="E426" s="564">
        <f>8000/8</f>
        <v>1000</v>
      </c>
      <c r="F426" s="387"/>
      <c r="G426" s="397">
        <v>44500</v>
      </c>
      <c r="H426" s="245" t="s">
        <v>716</v>
      </c>
    </row>
    <row r="427" spans="1:8" hidden="1" x14ac:dyDescent="0.25">
      <c r="A427" s="101" t="s">
        <v>608</v>
      </c>
      <c r="B427" s="191">
        <v>44301</v>
      </c>
      <c r="C427" s="381" t="s">
        <v>609</v>
      </c>
      <c r="D427" s="101" t="s">
        <v>610</v>
      </c>
      <c r="E427" s="564">
        <f>3000/12</f>
        <v>250</v>
      </c>
      <c r="F427" s="387"/>
      <c r="G427" s="397">
        <v>44500</v>
      </c>
      <c r="H427" s="245" t="s">
        <v>670</v>
      </c>
    </row>
    <row r="428" spans="1:8" hidden="1" x14ac:dyDescent="0.25">
      <c r="A428" s="101" t="s">
        <v>576</v>
      </c>
      <c r="B428" s="191">
        <v>44342</v>
      </c>
      <c r="C428" s="101" t="s">
        <v>617</v>
      </c>
      <c r="D428" s="101" t="s">
        <v>618</v>
      </c>
      <c r="E428" s="564">
        <f>ROUND(2500/12,2)</f>
        <v>208.33</v>
      </c>
      <c r="F428" s="387"/>
      <c r="G428" s="397">
        <v>44500</v>
      </c>
      <c r="H428" s="245" t="s">
        <v>619</v>
      </c>
    </row>
    <row r="429" spans="1:8" hidden="1" x14ac:dyDescent="0.25">
      <c r="A429" s="101" t="s">
        <v>439</v>
      </c>
      <c r="B429" s="191">
        <v>44105</v>
      </c>
      <c r="C429" s="101" t="s">
        <v>502</v>
      </c>
      <c r="D429" s="101" t="s">
        <v>431</v>
      </c>
      <c r="E429" s="387">
        <f>4500/12</f>
        <v>375</v>
      </c>
      <c r="F429" s="364"/>
      <c r="G429" s="397">
        <v>44530</v>
      </c>
      <c r="H429" s="101" t="s">
        <v>751</v>
      </c>
    </row>
    <row r="430" spans="1:8" hidden="1" x14ac:dyDescent="0.25">
      <c r="A430" s="101" t="s">
        <v>458</v>
      </c>
      <c r="B430" s="191">
        <v>44167</v>
      </c>
      <c r="C430" s="101" t="s">
        <v>480</v>
      </c>
      <c r="D430" s="101" t="s">
        <v>481</v>
      </c>
      <c r="E430" s="387">
        <f>12000/12</f>
        <v>1000</v>
      </c>
      <c r="F430" s="364"/>
      <c r="G430" s="397">
        <v>44530</v>
      </c>
      <c r="H430" s="101" t="s">
        <v>751</v>
      </c>
    </row>
    <row r="431" spans="1:8" hidden="1" x14ac:dyDescent="0.25">
      <c r="A431" s="101" t="s">
        <v>483</v>
      </c>
      <c r="B431" s="191">
        <v>44287</v>
      </c>
      <c r="C431" s="381" t="s">
        <v>607</v>
      </c>
      <c r="D431" s="101" t="s">
        <v>500</v>
      </c>
      <c r="E431" s="564">
        <f>8000/8</f>
        <v>1000</v>
      </c>
      <c r="F431" s="387"/>
      <c r="G431" s="397">
        <v>44530</v>
      </c>
      <c r="H431" s="245" t="s">
        <v>752</v>
      </c>
    </row>
    <row r="432" spans="1:8" hidden="1" x14ac:dyDescent="0.25">
      <c r="A432" s="101" t="s">
        <v>608</v>
      </c>
      <c r="B432" s="191">
        <v>44301</v>
      </c>
      <c r="C432" s="381" t="s">
        <v>609</v>
      </c>
      <c r="D432" s="101" t="s">
        <v>610</v>
      </c>
      <c r="E432" s="564">
        <f>3000/12</f>
        <v>250</v>
      </c>
      <c r="F432" s="387"/>
      <c r="G432" s="397">
        <v>44530</v>
      </c>
      <c r="H432" s="245" t="s">
        <v>686</v>
      </c>
    </row>
    <row r="433" spans="1:8" hidden="1" x14ac:dyDescent="0.25">
      <c r="A433" s="101" t="s">
        <v>576</v>
      </c>
      <c r="B433" s="191">
        <v>44342</v>
      </c>
      <c r="C433" s="101" t="s">
        <v>617</v>
      </c>
      <c r="D433" s="101" t="s">
        <v>618</v>
      </c>
      <c r="E433" s="564">
        <f>ROUND(2500/12,2)</f>
        <v>208.33</v>
      </c>
      <c r="F433" s="387"/>
      <c r="G433" s="397">
        <v>44530</v>
      </c>
      <c r="H433" s="245" t="s">
        <v>648</v>
      </c>
    </row>
    <row r="434" spans="1:8" hidden="1" x14ac:dyDescent="0.25">
      <c r="A434" s="101" t="s">
        <v>439</v>
      </c>
      <c r="B434" s="191">
        <v>44105</v>
      </c>
      <c r="C434" s="101" t="s">
        <v>502</v>
      </c>
      <c r="D434" s="101" t="s">
        <v>431</v>
      </c>
      <c r="E434" s="387">
        <f>4500/12</f>
        <v>375</v>
      </c>
      <c r="F434" s="364"/>
      <c r="G434" s="397">
        <v>44561</v>
      </c>
      <c r="H434" s="101" t="s">
        <v>776</v>
      </c>
    </row>
    <row r="435" spans="1:8" hidden="1" x14ac:dyDescent="0.25">
      <c r="A435" s="101" t="s">
        <v>458</v>
      </c>
      <c r="B435" s="191">
        <v>44167</v>
      </c>
      <c r="C435" s="101" t="s">
        <v>480</v>
      </c>
      <c r="D435" s="101" t="s">
        <v>481</v>
      </c>
      <c r="E435" s="387">
        <f>12000/12</f>
        <v>1000</v>
      </c>
      <c r="F435" s="364"/>
      <c r="G435" s="397">
        <v>44561</v>
      </c>
      <c r="H435" s="101" t="s">
        <v>776</v>
      </c>
    </row>
    <row r="436" spans="1:8" hidden="1" x14ac:dyDescent="0.25">
      <c r="A436" s="101" t="s">
        <v>608</v>
      </c>
      <c r="B436" s="191">
        <v>44301</v>
      </c>
      <c r="C436" s="381" t="s">
        <v>609</v>
      </c>
      <c r="D436" s="101" t="s">
        <v>610</v>
      </c>
      <c r="E436" s="564">
        <f>3000/12</f>
        <v>250</v>
      </c>
      <c r="F436" s="387"/>
      <c r="G436" s="397">
        <v>44561</v>
      </c>
      <c r="H436" s="245" t="s">
        <v>706</v>
      </c>
    </row>
    <row r="437" spans="1:8" hidden="1" x14ac:dyDescent="0.25">
      <c r="A437" s="101" t="s">
        <v>576</v>
      </c>
      <c r="B437" s="191">
        <v>44342</v>
      </c>
      <c r="C437" s="101" t="s">
        <v>617</v>
      </c>
      <c r="D437" s="101" t="s">
        <v>618</v>
      </c>
      <c r="E437" s="564">
        <f>ROUND(2500/12,2)</f>
        <v>208.33</v>
      </c>
      <c r="F437" s="387"/>
      <c r="G437" s="397">
        <v>44561</v>
      </c>
      <c r="H437" s="245" t="s">
        <v>670</v>
      </c>
    </row>
    <row r="438" spans="1:8" hidden="1" x14ac:dyDescent="0.25">
      <c r="A438" s="101" t="s">
        <v>608</v>
      </c>
      <c r="B438" s="191">
        <v>44301</v>
      </c>
      <c r="C438" s="381" t="s">
        <v>609</v>
      </c>
      <c r="D438" s="101" t="s">
        <v>610</v>
      </c>
      <c r="E438" s="564">
        <f>3000/12</f>
        <v>250</v>
      </c>
      <c r="F438" s="387"/>
      <c r="G438" s="397">
        <v>44592</v>
      </c>
      <c r="H438" s="245" t="s">
        <v>715</v>
      </c>
    </row>
    <row r="439" spans="1:8" hidden="1" x14ac:dyDescent="0.25">
      <c r="A439" s="101" t="s">
        <v>576</v>
      </c>
      <c r="B439" s="191">
        <v>44342</v>
      </c>
      <c r="C439" s="101" t="s">
        <v>617</v>
      </c>
      <c r="D439" s="101" t="s">
        <v>618</v>
      </c>
      <c r="E439" s="564">
        <f>ROUND(2500/12,2)</f>
        <v>208.33</v>
      </c>
      <c r="F439" s="387"/>
      <c r="G439" s="397">
        <v>44592</v>
      </c>
      <c r="H439" s="245" t="s">
        <v>686</v>
      </c>
    </row>
    <row r="440" spans="1:8" hidden="1" x14ac:dyDescent="0.25">
      <c r="A440" s="101" t="s">
        <v>458</v>
      </c>
      <c r="B440" s="191">
        <v>44532</v>
      </c>
      <c r="C440" s="101" t="s">
        <v>759</v>
      </c>
      <c r="D440" s="101" t="s">
        <v>760</v>
      </c>
      <c r="E440" s="564">
        <f>15000/12</f>
        <v>1250</v>
      </c>
      <c r="F440" s="387"/>
      <c r="G440" s="397">
        <v>44592</v>
      </c>
      <c r="H440" s="245" t="s">
        <v>542</v>
      </c>
    </row>
    <row r="441" spans="1:8" hidden="1" x14ac:dyDescent="0.25">
      <c r="A441" s="101" t="s">
        <v>179</v>
      </c>
      <c r="B441" s="366">
        <v>44562</v>
      </c>
      <c r="C441" s="101" t="s">
        <v>867</v>
      </c>
      <c r="D441" s="101" t="s">
        <v>797</v>
      </c>
      <c r="E441" s="564">
        <v>1000</v>
      </c>
      <c r="F441" s="387"/>
      <c r="G441" s="397">
        <v>44592</v>
      </c>
      <c r="H441" s="245" t="s">
        <v>542</v>
      </c>
    </row>
    <row r="442" spans="1:8" hidden="1" x14ac:dyDescent="0.25">
      <c r="A442" s="101" t="s">
        <v>608</v>
      </c>
      <c r="B442" s="191">
        <v>44301</v>
      </c>
      <c r="C442" s="381" t="s">
        <v>609</v>
      </c>
      <c r="D442" s="101" t="s">
        <v>610</v>
      </c>
      <c r="E442" s="564">
        <f>3000/12</f>
        <v>250</v>
      </c>
      <c r="F442" s="387"/>
      <c r="G442" s="397">
        <v>44620</v>
      </c>
      <c r="H442" s="245" t="s">
        <v>751</v>
      </c>
    </row>
    <row r="443" spans="1:8" hidden="1" x14ac:dyDescent="0.25">
      <c r="A443" s="101" t="s">
        <v>576</v>
      </c>
      <c r="B443" s="191">
        <v>44342</v>
      </c>
      <c r="C443" s="101" t="s">
        <v>617</v>
      </c>
      <c r="D443" s="101" t="s">
        <v>618</v>
      </c>
      <c r="E443" s="564">
        <f>ROUND(2500/12,2)</f>
        <v>208.33</v>
      </c>
      <c r="F443" s="387"/>
      <c r="G443" s="397">
        <v>44620</v>
      </c>
      <c r="H443" s="245" t="s">
        <v>706</v>
      </c>
    </row>
    <row r="444" spans="1:8" hidden="1" x14ac:dyDescent="0.25">
      <c r="A444" s="101" t="s">
        <v>458</v>
      </c>
      <c r="B444" s="191">
        <v>44532</v>
      </c>
      <c r="C444" s="101" t="s">
        <v>759</v>
      </c>
      <c r="D444" s="101" t="s">
        <v>760</v>
      </c>
      <c r="E444" s="564">
        <f>15000/12</f>
        <v>1250</v>
      </c>
      <c r="F444" s="387"/>
      <c r="G444" s="397">
        <v>44620</v>
      </c>
      <c r="H444" s="245" t="s">
        <v>574</v>
      </c>
    </row>
    <row r="445" spans="1:8" hidden="1" x14ac:dyDescent="0.25">
      <c r="A445" s="101" t="s">
        <v>179</v>
      </c>
      <c r="B445" s="366">
        <v>44562</v>
      </c>
      <c r="C445" s="101" t="s">
        <v>867</v>
      </c>
      <c r="D445" s="101" t="s">
        <v>797</v>
      </c>
      <c r="E445" s="564">
        <v>1000</v>
      </c>
      <c r="F445" s="387"/>
      <c r="G445" s="397">
        <v>44620</v>
      </c>
      <c r="H445" s="245" t="s">
        <v>574</v>
      </c>
    </row>
    <row r="446" spans="1:8" hidden="1" x14ac:dyDescent="0.25">
      <c r="A446" s="101" t="s">
        <v>608</v>
      </c>
      <c r="B446" s="191">
        <v>44301</v>
      </c>
      <c r="C446" s="381" t="s">
        <v>609</v>
      </c>
      <c r="D446" s="101" t="s">
        <v>610</v>
      </c>
      <c r="E446" s="564">
        <f>3000/12</f>
        <v>250</v>
      </c>
      <c r="F446" s="387"/>
      <c r="G446" s="397">
        <v>44651</v>
      </c>
      <c r="H446" s="245" t="s">
        <v>776</v>
      </c>
    </row>
    <row r="447" spans="1:8" hidden="1" x14ac:dyDescent="0.25">
      <c r="A447" s="101" t="s">
        <v>576</v>
      </c>
      <c r="B447" s="191">
        <v>44342</v>
      </c>
      <c r="C447" s="101" t="s">
        <v>617</v>
      </c>
      <c r="D447" s="101" t="s">
        <v>618</v>
      </c>
      <c r="E447" s="564">
        <f>ROUND(2500/12,2)</f>
        <v>208.33</v>
      </c>
      <c r="F447" s="387"/>
      <c r="G447" s="397">
        <v>44651</v>
      </c>
      <c r="H447" s="245" t="s">
        <v>715</v>
      </c>
    </row>
    <row r="448" spans="1:8" hidden="1" x14ac:dyDescent="0.25">
      <c r="A448" s="101" t="s">
        <v>458</v>
      </c>
      <c r="B448" s="191">
        <v>44532</v>
      </c>
      <c r="C448" s="101" t="s">
        <v>759</v>
      </c>
      <c r="D448" s="101" t="s">
        <v>760</v>
      </c>
      <c r="E448" s="564">
        <f>15000/12</f>
        <v>1250</v>
      </c>
      <c r="F448" s="387"/>
      <c r="G448" s="397">
        <v>44651</v>
      </c>
      <c r="H448" s="245" t="s">
        <v>589</v>
      </c>
    </row>
    <row r="449" spans="1:8" hidden="1" x14ac:dyDescent="0.25">
      <c r="A449" s="101" t="s">
        <v>179</v>
      </c>
      <c r="B449" s="366">
        <v>44562</v>
      </c>
      <c r="C449" s="101" t="s">
        <v>867</v>
      </c>
      <c r="D449" s="101" t="s">
        <v>797</v>
      </c>
      <c r="E449" s="564">
        <v>1000</v>
      </c>
      <c r="F449" s="387"/>
      <c r="G449" s="397">
        <v>44651</v>
      </c>
      <c r="H449" s="245" t="s">
        <v>589</v>
      </c>
    </row>
    <row r="450" spans="1:8" hidden="1" x14ac:dyDescent="0.25">
      <c r="A450" s="101" t="s">
        <v>576</v>
      </c>
      <c r="B450" s="191">
        <v>44342</v>
      </c>
      <c r="C450" s="101" t="s">
        <v>617</v>
      </c>
      <c r="D450" s="101" t="s">
        <v>618</v>
      </c>
      <c r="E450" s="564">
        <f>ROUND(2500/12,2)</f>
        <v>208.33</v>
      </c>
      <c r="F450" s="387"/>
      <c r="G450" s="397">
        <v>44681</v>
      </c>
      <c r="H450" s="245" t="s">
        <v>751</v>
      </c>
    </row>
    <row r="451" spans="1:8" hidden="1" x14ac:dyDescent="0.25">
      <c r="A451" s="101" t="s">
        <v>458</v>
      </c>
      <c r="B451" s="191">
        <v>44532</v>
      </c>
      <c r="C451" s="101" t="s">
        <v>759</v>
      </c>
      <c r="D451" s="101" t="s">
        <v>760</v>
      </c>
      <c r="E451" s="564">
        <f>15000/12</f>
        <v>1250</v>
      </c>
      <c r="F451" s="387"/>
      <c r="G451" s="397">
        <v>44681</v>
      </c>
      <c r="H451" s="245" t="s">
        <v>611</v>
      </c>
    </row>
    <row r="452" spans="1:8" hidden="1" x14ac:dyDescent="0.25">
      <c r="A452" s="101" t="s">
        <v>179</v>
      </c>
      <c r="B452" s="366">
        <v>44562</v>
      </c>
      <c r="C452" s="101" t="s">
        <v>867</v>
      </c>
      <c r="D452" s="101" t="s">
        <v>797</v>
      </c>
      <c r="E452" s="564">
        <v>1000</v>
      </c>
      <c r="F452" s="387"/>
      <c r="G452" s="397">
        <v>44681</v>
      </c>
      <c r="H452" s="245" t="s">
        <v>611</v>
      </c>
    </row>
    <row r="453" spans="1:8" hidden="1" x14ac:dyDescent="0.25">
      <c r="A453" s="101" t="s">
        <v>576</v>
      </c>
      <c r="B453" s="191">
        <v>44342</v>
      </c>
      <c r="C453" s="101" t="s">
        <v>617</v>
      </c>
      <c r="D453" s="101" t="s">
        <v>618</v>
      </c>
      <c r="E453" s="564">
        <f>ROUND(2500/12,2)+0.04</f>
        <v>208.37</v>
      </c>
      <c r="F453" s="387"/>
      <c r="G453" s="397">
        <v>44712</v>
      </c>
      <c r="H453" s="245" t="s">
        <v>776</v>
      </c>
    </row>
    <row r="454" spans="1:8" hidden="1" x14ac:dyDescent="0.25">
      <c r="A454" s="101" t="s">
        <v>458</v>
      </c>
      <c r="B454" s="191">
        <v>44532</v>
      </c>
      <c r="C454" s="101" t="s">
        <v>759</v>
      </c>
      <c r="D454" s="101" t="s">
        <v>760</v>
      </c>
      <c r="E454" s="564">
        <f>15000/12</f>
        <v>1250</v>
      </c>
      <c r="F454" s="387"/>
      <c r="G454" s="397">
        <v>44712</v>
      </c>
      <c r="H454" s="245" t="s">
        <v>619</v>
      </c>
    </row>
    <row r="455" spans="1:8" hidden="1" x14ac:dyDescent="0.25">
      <c r="A455" s="101" t="s">
        <v>179</v>
      </c>
      <c r="B455" s="366">
        <v>44562</v>
      </c>
      <c r="C455" s="101" t="s">
        <v>867</v>
      </c>
      <c r="D455" s="101" t="s">
        <v>797</v>
      </c>
      <c r="E455" s="564">
        <v>1000</v>
      </c>
      <c r="F455" s="387"/>
      <c r="G455" s="397">
        <v>44712</v>
      </c>
      <c r="H455" s="245" t="s">
        <v>619</v>
      </c>
    </row>
    <row r="456" spans="1:8" hidden="1" x14ac:dyDescent="0.25">
      <c r="A456" s="101" t="s">
        <v>458</v>
      </c>
      <c r="B456" s="191">
        <v>44532</v>
      </c>
      <c r="C456" s="101" t="s">
        <v>759</v>
      </c>
      <c r="D456" s="101" t="s">
        <v>760</v>
      </c>
      <c r="E456" s="564">
        <f>15000/12</f>
        <v>1250</v>
      </c>
      <c r="F456" s="387"/>
      <c r="G456" s="397">
        <v>44742</v>
      </c>
      <c r="H456" s="245" t="s">
        <v>648</v>
      </c>
    </row>
    <row r="457" spans="1:8" hidden="1" x14ac:dyDescent="0.25">
      <c r="A457" s="101" t="s">
        <v>179</v>
      </c>
      <c r="B457" s="366">
        <v>44562</v>
      </c>
      <c r="C457" s="101" t="s">
        <v>867</v>
      </c>
      <c r="D457" s="101" t="s">
        <v>797</v>
      </c>
      <c r="E457" s="564">
        <v>1000</v>
      </c>
      <c r="F457" s="387"/>
      <c r="G457" s="397">
        <v>44742</v>
      </c>
      <c r="H457" s="245" t="s">
        <v>648</v>
      </c>
    </row>
    <row r="458" spans="1:8" hidden="1" x14ac:dyDescent="0.25">
      <c r="A458" s="101" t="s">
        <v>458</v>
      </c>
      <c r="B458" s="191">
        <v>44532</v>
      </c>
      <c r="C458" s="101" t="s">
        <v>759</v>
      </c>
      <c r="D458" s="101" t="s">
        <v>760</v>
      </c>
      <c r="E458" s="564">
        <f>15000/12</f>
        <v>1250</v>
      </c>
      <c r="F458" s="387"/>
      <c r="G458" s="397">
        <v>44773</v>
      </c>
      <c r="H458" s="245" t="s">
        <v>670</v>
      </c>
    </row>
    <row r="459" spans="1:8" hidden="1" x14ac:dyDescent="0.25">
      <c r="A459" s="101" t="s">
        <v>179</v>
      </c>
      <c r="B459" s="366">
        <v>44562</v>
      </c>
      <c r="C459" s="101" t="s">
        <v>867</v>
      </c>
      <c r="D459" s="101" t="s">
        <v>797</v>
      </c>
      <c r="E459" s="564">
        <v>1000</v>
      </c>
      <c r="F459" s="387"/>
      <c r="G459" s="397">
        <v>44773</v>
      </c>
      <c r="H459" s="245" t="s">
        <v>670</v>
      </c>
    </row>
    <row r="460" spans="1:8" hidden="1" x14ac:dyDescent="0.25">
      <c r="A460" s="101" t="s">
        <v>458</v>
      </c>
      <c r="B460" s="191">
        <v>44532</v>
      </c>
      <c r="C460" s="101" t="s">
        <v>759</v>
      </c>
      <c r="D460" s="101" t="s">
        <v>760</v>
      </c>
      <c r="E460" s="564">
        <f>15000/12</f>
        <v>1250</v>
      </c>
      <c r="F460" s="387"/>
      <c r="G460" s="397">
        <v>44804</v>
      </c>
      <c r="H460" s="245" t="s">
        <v>686</v>
      </c>
    </row>
    <row r="461" spans="1:8" hidden="1" x14ac:dyDescent="0.25">
      <c r="A461" s="101" t="s">
        <v>179</v>
      </c>
      <c r="B461" s="366">
        <v>44562</v>
      </c>
      <c r="C461" s="101" t="s">
        <v>867</v>
      </c>
      <c r="D461" s="101" t="s">
        <v>797</v>
      </c>
      <c r="E461" s="564">
        <v>1000</v>
      </c>
      <c r="F461" s="387"/>
      <c r="G461" s="397">
        <v>44804</v>
      </c>
      <c r="H461" s="245" t="s">
        <v>686</v>
      </c>
    </row>
    <row r="462" spans="1:8" hidden="1" x14ac:dyDescent="0.25">
      <c r="A462" s="101" t="s">
        <v>458</v>
      </c>
      <c r="B462" s="191">
        <v>44532</v>
      </c>
      <c r="C462" s="101" t="s">
        <v>759</v>
      </c>
      <c r="D462" s="101" t="s">
        <v>760</v>
      </c>
      <c r="E462" s="564">
        <f>15000/12</f>
        <v>1250</v>
      </c>
      <c r="F462" s="387"/>
      <c r="G462" s="397">
        <v>44834</v>
      </c>
      <c r="H462" s="245" t="s">
        <v>706</v>
      </c>
    </row>
    <row r="463" spans="1:8" hidden="1" x14ac:dyDescent="0.25">
      <c r="A463" s="101" t="s">
        <v>179</v>
      </c>
      <c r="B463" s="366">
        <v>44562</v>
      </c>
      <c r="C463" s="101" t="s">
        <v>867</v>
      </c>
      <c r="D463" s="101" t="s">
        <v>797</v>
      </c>
      <c r="E463" s="564">
        <v>1000</v>
      </c>
      <c r="F463" s="387"/>
      <c r="G463" s="397">
        <v>44834</v>
      </c>
      <c r="H463" s="245" t="s">
        <v>706</v>
      </c>
    </row>
    <row r="464" spans="1:8" hidden="1" x14ac:dyDescent="0.25">
      <c r="A464" s="101" t="s">
        <v>458</v>
      </c>
      <c r="B464" s="191">
        <v>44532</v>
      </c>
      <c r="C464" s="101" t="s">
        <v>759</v>
      </c>
      <c r="D464" s="101" t="s">
        <v>760</v>
      </c>
      <c r="E464" s="564">
        <f>15000/12</f>
        <v>1250</v>
      </c>
      <c r="F464" s="387"/>
      <c r="G464" s="397">
        <v>44865</v>
      </c>
      <c r="H464" s="245" t="s">
        <v>715</v>
      </c>
    </row>
    <row r="465" spans="1:8" hidden="1" x14ac:dyDescent="0.25">
      <c r="A465" s="101" t="s">
        <v>179</v>
      </c>
      <c r="B465" s="366">
        <v>44562</v>
      </c>
      <c r="C465" s="101" t="s">
        <v>867</v>
      </c>
      <c r="D465" s="101" t="s">
        <v>797</v>
      </c>
      <c r="E465" s="564">
        <v>1000</v>
      </c>
      <c r="F465" s="387"/>
      <c r="G465" s="397">
        <v>44865</v>
      </c>
      <c r="H465" s="245" t="s">
        <v>715</v>
      </c>
    </row>
    <row r="466" spans="1:8" hidden="1" x14ac:dyDescent="0.25">
      <c r="A466" s="101" t="s">
        <v>458</v>
      </c>
      <c r="B466" s="191">
        <v>44532</v>
      </c>
      <c r="C466" s="101" t="s">
        <v>759</v>
      </c>
      <c r="D466" s="101" t="s">
        <v>760</v>
      </c>
      <c r="E466" s="564">
        <f>15000/12</f>
        <v>1250</v>
      </c>
      <c r="F466" s="387"/>
      <c r="G466" s="397">
        <v>44895</v>
      </c>
      <c r="H466" s="245" t="s">
        <v>751</v>
      </c>
    </row>
    <row r="467" spans="1:8" hidden="1" x14ac:dyDescent="0.25">
      <c r="A467" s="101" t="s">
        <v>179</v>
      </c>
      <c r="B467" s="366">
        <v>44562</v>
      </c>
      <c r="C467" s="101" t="s">
        <v>867</v>
      </c>
      <c r="D467" s="101" t="s">
        <v>797</v>
      </c>
      <c r="E467" s="564">
        <v>1000</v>
      </c>
      <c r="F467" s="387"/>
      <c r="G467" s="397">
        <v>44895</v>
      </c>
      <c r="H467" s="245" t="s">
        <v>751</v>
      </c>
    </row>
    <row r="468" spans="1:8" hidden="1" x14ac:dyDescent="0.25">
      <c r="A468" s="101" t="s">
        <v>458</v>
      </c>
      <c r="B468" s="191">
        <v>44532</v>
      </c>
      <c r="C468" s="101" t="s">
        <v>759</v>
      </c>
      <c r="D468" s="101" t="s">
        <v>760</v>
      </c>
      <c r="E468" s="564">
        <f>15000/12</f>
        <v>1250</v>
      </c>
      <c r="F468" s="387"/>
      <c r="G468" s="397">
        <v>44926</v>
      </c>
      <c r="H468" s="245" t="s">
        <v>776</v>
      </c>
    </row>
    <row r="469" spans="1:8" hidden="1" x14ac:dyDescent="0.25">
      <c r="A469" s="101" t="s">
        <v>179</v>
      </c>
      <c r="B469" s="366">
        <v>44562</v>
      </c>
      <c r="C469" s="101" t="s">
        <v>867</v>
      </c>
      <c r="D469" s="101" t="s">
        <v>797</v>
      </c>
      <c r="E469" s="564">
        <v>1000</v>
      </c>
      <c r="F469" s="387"/>
      <c r="G469" s="397">
        <v>44926</v>
      </c>
      <c r="H469" s="245" t="s">
        <v>776</v>
      </c>
    </row>
    <row r="470" spans="1:8" hidden="1" x14ac:dyDescent="0.25">
      <c r="A470" s="101" t="s">
        <v>179</v>
      </c>
      <c r="B470" s="191">
        <v>44927</v>
      </c>
      <c r="C470" s="101" t="s">
        <v>1071</v>
      </c>
      <c r="D470" s="366" t="s">
        <v>1040</v>
      </c>
      <c r="E470" s="564">
        <f t="shared" ref="E470:E482" si="0">15000/12</f>
        <v>1250</v>
      </c>
      <c r="F470" s="387"/>
      <c r="G470" s="397">
        <v>44957</v>
      </c>
      <c r="H470" s="245" t="s">
        <v>542</v>
      </c>
    </row>
    <row r="471" spans="1:8" hidden="1" x14ac:dyDescent="0.25">
      <c r="A471" s="101" t="s">
        <v>179</v>
      </c>
      <c r="B471" s="191">
        <v>44927</v>
      </c>
      <c r="C471" s="101" t="s">
        <v>1071</v>
      </c>
      <c r="D471" s="366" t="s">
        <v>1040</v>
      </c>
      <c r="E471" s="564">
        <f t="shared" si="0"/>
        <v>1250</v>
      </c>
      <c r="F471" s="387"/>
      <c r="G471" s="397">
        <v>44985</v>
      </c>
      <c r="H471" s="245" t="s">
        <v>574</v>
      </c>
    </row>
    <row r="472" spans="1:8" hidden="1" x14ac:dyDescent="0.25">
      <c r="A472" s="101" t="s">
        <v>179</v>
      </c>
      <c r="B472" s="191">
        <v>44927</v>
      </c>
      <c r="C472" s="101" t="s">
        <v>1071</v>
      </c>
      <c r="D472" s="366" t="s">
        <v>1040</v>
      </c>
      <c r="E472" s="564">
        <f t="shared" si="0"/>
        <v>1250</v>
      </c>
      <c r="F472" s="387"/>
      <c r="G472" s="397">
        <v>45016</v>
      </c>
      <c r="H472" s="245" t="s">
        <v>589</v>
      </c>
    </row>
    <row r="473" spans="1:8" hidden="1" x14ac:dyDescent="0.25">
      <c r="A473" s="101" t="s">
        <v>179</v>
      </c>
      <c r="B473" s="191">
        <v>44927</v>
      </c>
      <c r="C473" s="101" t="s">
        <v>1071</v>
      </c>
      <c r="D473" s="366" t="s">
        <v>1040</v>
      </c>
      <c r="E473" s="564">
        <f t="shared" si="0"/>
        <v>1250</v>
      </c>
      <c r="F473" s="387"/>
      <c r="G473" s="397">
        <v>45046</v>
      </c>
      <c r="H473" s="245" t="s">
        <v>611</v>
      </c>
    </row>
    <row r="474" spans="1:8" hidden="1" x14ac:dyDescent="0.25">
      <c r="A474" s="101" t="s">
        <v>179</v>
      </c>
      <c r="B474" s="191">
        <v>44927</v>
      </c>
      <c r="C474" s="101" t="s">
        <v>1071</v>
      </c>
      <c r="D474" s="366" t="s">
        <v>1040</v>
      </c>
      <c r="E474" s="564">
        <f t="shared" si="0"/>
        <v>1250</v>
      </c>
      <c r="F474" s="387"/>
      <c r="G474" s="397">
        <v>45077</v>
      </c>
      <c r="H474" s="245" t="s">
        <v>619</v>
      </c>
    </row>
    <row r="475" spans="1:8" hidden="1" x14ac:dyDescent="0.25">
      <c r="A475" s="101" t="s">
        <v>179</v>
      </c>
      <c r="B475" s="191">
        <v>44927</v>
      </c>
      <c r="C475" s="101" t="s">
        <v>1071</v>
      </c>
      <c r="D475" s="366" t="s">
        <v>1040</v>
      </c>
      <c r="E475" s="564">
        <f t="shared" si="0"/>
        <v>1250</v>
      </c>
      <c r="F475" s="387"/>
      <c r="G475" s="397">
        <v>45107</v>
      </c>
      <c r="H475" s="245" t="s">
        <v>648</v>
      </c>
    </row>
    <row r="476" spans="1:8" hidden="1" x14ac:dyDescent="0.25">
      <c r="A476" s="101" t="s">
        <v>179</v>
      </c>
      <c r="B476" s="191">
        <v>44927</v>
      </c>
      <c r="C476" s="101" t="s">
        <v>1071</v>
      </c>
      <c r="D476" s="366" t="s">
        <v>1040</v>
      </c>
      <c r="E476" s="564">
        <f t="shared" si="0"/>
        <v>1250</v>
      </c>
      <c r="F476" s="387"/>
      <c r="G476" s="397">
        <v>45138</v>
      </c>
      <c r="H476" s="245" t="s">
        <v>670</v>
      </c>
    </row>
    <row r="477" spans="1:8" hidden="1" x14ac:dyDescent="0.25">
      <c r="A477" s="101" t="s">
        <v>179</v>
      </c>
      <c r="B477" s="191">
        <v>44927</v>
      </c>
      <c r="C477" s="101" t="s">
        <v>1071</v>
      </c>
      <c r="D477" s="366" t="s">
        <v>1040</v>
      </c>
      <c r="E477" s="564">
        <f t="shared" si="0"/>
        <v>1250</v>
      </c>
      <c r="F477" s="387"/>
      <c r="G477" s="397">
        <v>45169</v>
      </c>
      <c r="H477" s="245" t="s">
        <v>686</v>
      </c>
    </row>
    <row r="478" spans="1:8" hidden="1" x14ac:dyDescent="0.25">
      <c r="A478" s="101" t="s">
        <v>179</v>
      </c>
      <c r="B478" s="191">
        <v>44927</v>
      </c>
      <c r="C478" s="101" t="s">
        <v>1071</v>
      </c>
      <c r="D478" s="366" t="s">
        <v>1040</v>
      </c>
      <c r="E478" s="564">
        <f t="shared" si="0"/>
        <v>1250</v>
      </c>
      <c r="F478" s="387"/>
      <c r="G478" s="397">
        <v>45199</v>
      </c>
      <c r="H478" s="245" t="s">
        <v>706</v>
      </c>
    </row>
    <row r="479" spans="1:8" hidden="1" x14ac:dyDescent="0.25">
      <c r="A479" s="101" t="s">
        <v>792</v>
      </c>
      <c r="B479" s="191">
        <v>44621</v>
      </c>
      <c r="C479" s="101" t="s">
        <v>826</v>
      </c>
      <c r="D479" s="366" t="s">
        <v>793</v>
      </c>
      <c r="E479" s="564">
        <v>5000</v>
      </c>
      <c r="F479" s="387"/>
      <c r="G479" s="397">
        <v>45230</v>
      </c>
      <c r="H479" s="569" t="s">
        <v>715</v>
      </c>
    </row>
    <row r="480" spans="1:8" hidden="1" x14ac:dyDescent="0.25">
      <c r="A480" s="101" t="s">
        <v>179</v>
      </c>
      <c r="B480" s="191">
        <v>44927</v>
      </c>
      <c r="C480" s="101" t="s">
        <v>1071</v>
      </c>
      <c r="D480" s="366" t="s">
        <v>1040</v>
      </c>
      <c r="E480" s="564">
        <f t="shared" si="0"/>
        <v>1250</v>
      </c>
      <c r="F480" s="387"/>
      <c r="G480" s="397">
        <v>45230</v>
      </c>
      <c r="H480" s="569" t="s">
        <v>715</v>
      </c>
    </row>
    <row r="481" spans="1:8" hidden="1" x14ac:dyDescent="0.25">
      <c r="A481" s="101" t="s">
        <v>179</v>
      </c>
      <c r="B481" s="191">
        <v>44927</v>
      </c>
      <c r="C481" s="101" t="s">
        <v>1071</v>
      </c>
      <c r="D481" s="366" t="s">
        <v>1040</v>
      </c>
      <c r="E481" s="564">
        <f t="shared" si="0"/>
        <v>1250</v>
      </c>
      <c r="F481" s="387"/>
      <c r="G481" s="397">
        <v>45260</v>
      </c>
      <c r="H481" s="569" t="s">
        <v>751</v>
      </c>
    </row>
    <row r="482" spans="1:8" hidden="1" x14ac:dyDescent="0.25">
      <c r="A482" s="101" t="s">
        <v>179</v>
      </c>
      <c r="B482" s="191">
        <v>44927</v>
      </c>
      <c r="C482" s="101" t="s">
        <v>1071</v>
      </c>
      <c r="D482" s="366" t="s">
        <v>1040</v>
      </c>
      <c r="E482" s="564">
        <f t="shared" si="0"/>
        <v>1250</v>
      </c>
      <c r="F482" s="387"/>
      <c r="G482" s="397">
        <v>45291</v>
      </c>
      <c r="H482" s="569" t="s">
        <v>751</v>
      </c>
    </row>
    <row r="483" spans="1:8" ht="15.75" hidden="1" thickBot="1" x14ac:dyDescent="0.3">
      <c r="B483" s="191"/>
      <c r="E483" s="418">
        <f>SUM(E470:E482)</f>
        <v>20000</v>
      </c>
      <c r="F483" s="225"/>
      <c r="G483" s="397"/>
    </row>
    <row r="484" spans="1:8" hidden="1" x14ac:dyDescent="0.25">
      <c r="A484" s="163" t="s">
        <v>1099</v>
      </c>
      <c r="B484" s="191"/>
      <c r="E484" s="419"/>
      <c r="F484" s="225"/>
      <c r="G484" s="397"/>
    </row>
    <row r="485" spans="1:8" hidden="1" x14ac:dyDescent="0.25">
      <c r="A485" s="101" t="s">
        <v>736</v>
      </c>
      <c r="B485" s="191">
        <v>44896</v>
      </c>
      <c r="C485" s="101" t="s">
        <v>1072</v>
      </c>
      <c r="D485" s="101" t="s">
        <v>1016</v>
      </c>
      <c r="E485" s="387">
        <v>5000</v>
      </c>
      <c r="F485" s="387"/>
      <c r="G485" s="397">
        <v>45016</v>
      </c>
      <c r="H485" s="67" t="s">
        <v>1118</v>
      </c>
    </row>
    <row r="486" spans="1:8" hidden="1" x14ac:dyDescent="0.25">
      <c r="A486" s="101" t="s">
        <v>546</v>
      </c>
      <c r="B486" s="191">
        <v>44986</v>
      </c>
      <c r="C486" s="101" t="s">
        <v>1072</v>
      </c>
      <c r="D486" s="101" t="s">
        <v>1044</v>
      </c>
      <c r="E486" s="387">
        <v>5025</v>
      </c>
      <c r="F486" s="387"/>
      <c r="G486" s="397">
        <v>45016</v>
      </c>
      <c r="H486" s="67" t="s">
        <v>1118</v>
      </c>
    </row>
    <row r="487" spans="1:8" s="195" customFormat="1" hidden="1" x14ac:dyDescent="0.25">
      <c r="A487" s="101" t="s">
        <v>580</v>
      </c>
      <c r="B487" s="191">
        <v>45017</v>
      </c>
      <c r="C487" s="101" t="s">
        <v>1072</v>
      </c>
      <c r="D487" s="101" t="s">
        <v>1090</v>
      </c>
      <c r="E487" s="387">
        <v>5025</v>
      </c>
      <c r="F487" s="387"/>
      <c r="G487" s="397">
        <v>45016</v>
      </c>
      <c r="H487" s="67" t="s">
        <v>1118</v>
      </c>
    </row>
    <row r="488" spans="1:8" s="195" customFormat="1" hidden="1" x14ac:dyDescent="0.25">
      <c r="A488" s="101" t="s">
        <v>179</v>
      </c>
      <c r="B488" s="191">
        <v>44927</v>
      </c>
      <c r="C488" s="101" t="s">
        <v>1084</v>
      </c>
      <c r="D488" s="366" t="s">
        <v>1040</v>
      </c>
      <c r="E488" s="387">
        <v>2525</v>
      </c>
      <c r="F488" s="387"/>
      <c r="G488" s="397">
        <v>45016</v>
      </c>
      <c r="H488" s="67" t="s">
        <v>1118</v>
      </c>
    </row>
    <row r="489" spans="1:8" s="195" customFormat="1" hidden="1" x14ac:dyDescent="0.25">
      <c r="A489" s="101" t="s">
        <v>458</v>
      </c>
      <c r="B489" s="191">
        <v>44945</v>
      </c>
      <c r="C489" s="101" t="s">
        <v>1084</v>
      </c>
      <c r="D489" s="101" t="s">
        <v>1069</v>
      </c>
      <c r="E489" s="387">
        <v>2525</v>
      </c>
      <c r="F489" s="387"/>
      <c r="G489" s="397">
        <v>45016</v>
      </c>
      <c r="H489" s="67" t="s">
        <v>1118</v>
      </c>
    </row>
    <row r="490" spans="1:8" hidden="1" x14ac:dyDescent="0.25">
      <c r="A490" s="101" t="s">
        <v>792</v>
      </c>
      <c r="B490" s="191">
        <v>44986</v>
      </c>
      <c r="C490" s="101" t="s">
        <v>1084</v>
      </c>
      <c r="D490" s="366" t="s">
        <v>1045</v>
      </c>
      <c r="E490" s="387">
        <v>2525</v>
      </c>
      <c r="F490" s="387"/>
      <c r="G490" s="397">
        <v>45016</v>
      </c>
      <c r="H490" s="67" t="s">
        <v>1118</v>
      </c>
    </row>
    <row r="491" spans="1:8" hidden="1" x14ac:dyDescent="0.25">
      <c r="A491" s="101" t="s">
        <v>1098</v>
      </c>
      <c r="B491" s="191">
        <v>45005</v>
      </c>
      <c r="C491" s="101" t="s">
        <v>1072</v>
      </c>
      <c r="D491" s="101" t="s">
        <v>1097</v>
      </c>
      <c r="E491" s="387">
        <v>2525</v>
      </c>
      <c r="F491" s="387"/>
      <c r="G491" s="397">
        <v>45016</v>
      </c>
      <c r="H491" s="67" t="s">
        <v>1118</v>
      </c>
    </row>
    <row r="492" spans="1:8" hidden="1" x14ac:dyDescent="0.25">
      <c r="A492" s="101" t="s">
        <v>905</v>
      </c>
      <c r="B492" s="191">
        <v>45064</v>
      </c>
      <c r="C492" s="101" t="s">
        <v>1072</v>
      </c>
      <c r="D492" s="101" t="s">
        <v>1144</v>
      </c>
      <c r="E492" s="564">
        <v>5025</v>
      </c>
      <c r="F492" s="388"/>
      <c r="G492" s="397">
        <v>45077</v>
      </c>
      <c r="H492" s="67" t="s">
        <v>1145</v>
      </c>
    </row>
    <row r="493" spans="1:8" hidden="1" x14ac:dyDescent="0.25">
      <c r="B493" s="191"/>
      <c r="E493" s="564"/>
      <c r="F493" s="388"/>
      <c r="G493" s="397"/>
      <c r="H493" s="67"/>
    </row>
    <row r="494" spans="1:8" ht="15.75" hidden="1" thickBot="1" x14ac:dyDescent="0.3">
      <c r="B494" s="191"/>
      <c r="E494" s="418">
        <f>SUM(E485:E493)</f>
        <v>30175</v>
      </c>
      <c r="F494" s="387"/>
      <c r="G494" s="397"/>
      <c r="H494" s="67"/>
    </row>
    <row r="495" spans="1:8" x14ac:dyDescent="0.25">
      <c r="B495" s="191"/>
      <c r="E495" s="387"/>
      <c r="F495" s="225"/>
    </row>
    <row r="496" spans="1:8" x14ac:dyDescent="0.25">
      <c r="A496" s="163" t="s">
        <v>471</v>
      </c>
      <c r="B496" s="191"/>
      <c r="D496" s="366"/>
      <c r="E496" s="387"/>
      <c r="F496" s="225"/>
      <c r="G496" s="396" t="s">
        <v>377</v>
      </c>
    </row>
    <row r="497" spans="1:8" hidden="1" x14ac:dyDescent="0.25">
      <c r="A497" s="101" t="s">
        <v>345</v>
      </c>
      <c r="B497" s="191">
        <v>43720</v>
      </c>
      <c r="C497" s="101" t="s">
        <v>362</v>
      </c>
      <c r="D497" s="101" t="s">
        <v>189</v>
      </c>
      <c r="E497" s="399">
        <v>5000</v>
      </c>
      <c r="G497" s="397">
        <v>44074</v>
      </c>
    </row>
    <row r="498" spans="1:8" hidden="1" x14ac:dyDescent="0.25">
      <c r="A498" s="101" t="s">
        <v>346</v>
      </c>
      <c r="B498" s="191">
        <v>43719</v>
      </c>
      <c r="C498" s="101" t="s">
        <v>363</v>
      </c>
      <c r="D498" s="101" t="s">
        <v>163</v>
      </c>
      <c r="E498" s="420">
        <v>5000</v>
      </c>
      <c r="G498" s="397">
        <v>44074</v>
      </c>
    </row>
    <row r="499" spans="1:8" hidden="1" x14ac:dyDescent="0.25">
      <c r="A499" s="101" t="s">
        <v>349</v>
      </c>
      <c r="B499" s="191">
        <v>43754</v>
      </c>
      <c r="C499" s="101" t="s">
        <v>362</v>
      </c>
      <c r="D499" s="101" t="s">
        <v>183</v>
      </c>
      <c r="E499" s="420">
        <v>2500</v>
      </c>
      <c r="G499" s="397">
        <v>44074</v>
      </c>
    </row>
    <row r="500" spans="1:8" hidden="1" x14ac:dyDescent="0.25">
      <c r="A500" s="101" t="s">
        <v>364</v>
      </c>
      <c r="B500" s="191">
        <v>43783</v>
      </c>
      <c r="C500" s="101" t="s">
        <v>365</v>
      </c>
      <c r="D500" s="101" t="s">
        <v>366</v>
      </c>
      <c r="E500" s="420">
        <v>3500</v>
      </c>
      <c r="G500" s="397">
        <v>44074</v>
      </c>
    </row>
    <row r="501" spans="1:8" hidden="1" x14ac:dyDescent="0.25">
      <c r="A501" s="101" t="s">
        <v>367</v>
      </c>
      <c r="B501" s="191">
        <v>43812</v>
      </c>
      <c r="C501" s="101" t="s">
        <v>362</v>
      </c>
      <c r="D501" s="101" t="s">
        <v>353</v>
      </c>
      <c r="E501" s="420">
        <v>5000</v>
      </c>
      <c r="G501" s="397">
        <v>44074</v>
      </c>
    </row>
    <row r="502" spans="1:8" hidden="1" x14ac:dyDescent="0.25">
      <c r="A502" s="101" t="s">
        <v>368</v>
      </c>
      <c r="B502" s="191">
        <v>43857</v>
      </c>
      <c r="C502" s="101" t="s">
        <v>369</v>
      </c>
      <c r="D502" s="101" t="s">
        <v>370</v>
      </c>
      <c r="E502" s="420">
        <v>7500</v>
      </c>
      <c r="G502" s="397">
        <v>44074</v>
      </c>
    </row>
    <row r="503" spans="1:8" hidden="1" x14ac:dyDescent="0.25">
      <c r="A503" s="101" t="s">
        <v>158</v>
      </c>
      <c r="B503" s="191">
        <v>43850</v>
      </c>
      <c r="C503" s="101" t="s">
        <v>362</v>
      </c>
      <c r="D503" s="101" t="s">
        <v>159</v>
      </c>
      <c r="E503" s="421">
        <v>5000</v>
      </c>
      <c r="G503" s="397">
        <v>44074</v>
      </c>
    </row>
    <row r="504" spans="1:8" hidden="1" x14ac:dyDescent="0.25">
      <c r="A504" s="101" t="s">
        <v>179</v>
      </c>
      <c r="B504" s="191">
        <v>43853</v>
      </c>
      <c r="C504" s="101" t="s">
        <v>362</v>
      </c>
      <c r="D504" s="101" t="s">
        <v>371</v>
      </c>
      <c r="E504" s="421">
        <v>15000</v>
      </c>
      <c r="G504" s="397">
        <v>44074</v>
      </c>
    </row>
    <row r="505" spans="1:8" hidden="1" x14ac:dyDescent="0.25">
      <c r="A505" s="101" t="s">
        <v>372</v>
      </c>
      <c r="B505" s="191">
        <v>43879</v>
      </c>
      <c r="C505" s="101" t="s">
        <v>362</v>
      </c>
      <c r="D505" s="101" t="s">
        <v>373</v>
      </c>
      <c r="E505" s="421">
        <v>3500</v>
      </c>
      <c r="G505" s="397">
        <v>44074</v>
      </c>
    </row>
    <row r="506" spans="1:8" s="195" customFormat="1" hidden="1" x14ac:dyDescent="0.25">
      <c r="A506" s="101" t="s">
        <v>104</v>
      </c>
      <c r="B506" s="191">
        <v>44022</v>
      </c>
      <c r="C506" s="366" t="s">
        <v>374</v>
      </c>
      <c r="D506" s="101" t="s">
        <v>375</v>
      </c>
      <c r="E506" s="421">
        <v>15000</v>
      </c>
      <c r="G506" s="397">
        <v>44074</v>
      </c>
      <c r="H506" s="101"/>
    </row>
    <row r="507" spans="1:8" s="195" customFormat="1" hidden="1" x14ac:dyDescent="0.25">
      <c r="A507" s="101" t="s">
        <v>458</v>
      </c>
      <c r="B507" s="191">
        <v>44136</v>
      </c>
      <c r="C507" s="191" t="s">
        <v>470</v>
      </c>
      <c r="D507" s="191" t="s">
        <v>462</v>
      </c>
      <c r="E507" s="422">
        <v>2500</v>
      </c>
      <c r="F507" s="368"/>
      <c r="G507" s="397">
        <v>44377</v>
      </c>
      <c r="H507" s="101"/>
    </row>
    <row r="508" spans="1:8" s="195" customFormat="1" hidden="1" x14ac:dyDescent="0.25">
      <c r="A508" s="101" t="s">
        <v>162</v>
      </c>
      <c r="B508" s="191">
        <v>44197</v>
      </c>
      <c r="C508" s="191" t="s">
        <v>538</v>
      </c>
      <c r="D508" s="191" t="s">
        <v>414</v>
      </c>
      <c r="E508" s="422">
        <v>5000</v>
      </c>
      <c r="F508" s="368"/>
      <c r="G508" s="397">
        <v>44377</v>
      </c>
      <c r="H508" s="101"/>
    </row>
    <row r="509" spans="1:8" s="195" customFormat="1" hidden="1" x14ac:dyDescent="0.25">
      <c r="A509" s="423" t="s">
        <v>539</v>
      </c>
      <c r="B509" s="191">
        <v>44224</v>
      </c>
      <c r="C509" s="423" t="s">
        <v>540</v>
      </c>
      <c r="D509" s="101" t="s">
        <v>541</v>
      </c>
      <c r="E509" s="387">
        <v>20000</v>
      </c>
      <c r="F509" s="368"/>
      <c r="G509" s="397">
        <v>44377</v>
      </c>
      <c r="H509" s="101"/>
    </row>
    <row r="510" spans="1:8" s="195" customFormat="1" hidden="1" x14ac:dyDescent="0.25">
      <c r="A510" s="101" t="s">
        <v>186</v>
      </c>
      <c r="B510" s="191">
        <v>44229</v>
      </c>
      <c r="C510" s="101" t="s">
        <v>568</v>
      </c>
      <c r="D510" s="101" t="s">
        <v>569</v>
      </c>
      <c r="E510" s="387">
        <v>20000</v>
      </c>
      <c r="F510" s="368"/>
      <c r="G510" s="397">
        <v>44377</v>
      </c>
      <c r="H510" s="101"/>
    </row>
    <row r="511" spans="1:8" s="195" customFormat="1" hidden="1" x14ac:dyDescent="0.25">
      <c r="A511" s="101" t="s">
        <v>179</v>
      </c>
      <c r="B511" s="191">
        <v>44248</v>
      </c>
      <c r="C511" s="381" t="s">
        <v>570</v>
      </c>
      <c r="D511" s="101" t="s">
        <v>544</v>
      </c>
      <c r="E511" s="387">
        <v>20000</v>
      </c>
      <c r="F511" s="368"/>
      <c r="G511" s="397">
        <v>44377</v>
      </c>
      <c r="H511" s="101"/>
    </row>
    <row r="512" spans="1:8" s="195" customFormat="1" hidden="1" x14ac:dyDescent="0.25">
      <c r="A512" s="101" t="s">
        <v>571</v>
      </c>
      <c r="B512" s="191">
        <v>44231</v>
      </c>
      <c r="C512" s="381" t="s">
        <v>570</v>
      </c>
      <c r="D512" s="101" t="s">
        <v>572</v>
      </c>
      <c r="E512" s="387">
        <v>10000</v>
      </c>
      <c r="F512" s="368"/>
      <c r="G512" s="397">
        <v>44377</v>
      </c>
      <c r="H512" s="101"/>
    </row>
    <row r="513" spans="1:8" s="195" customFormat="1" hidden="1" x14ac:dyDescent="0.25">
      <c r="A513" s="101" t="s">
        <v>458</v>
      </c>
      <c r="B513" s="191">
        <v>44256</v>
      </c>
      <c r="C513" s="381" t="s">
        <v>570</v>
      </c>
      <c r="D513" s="101" t="s">
        <v>588</v>
      </c>
      <c r="E513" s="387">
        <v>17500</v>
      </c>
      <c r="F513" s="368"/>
      <c r="G513" s="397">
        <v>44377</v>
      </c>
      <c r="H513" s="101"/>
    </row>
    <row r="514" spans="1:8" s="195" customFormat="1" hidden="1" x14ac:dyDescent="0.25">
      <c r="A514" s="101" t="s">
        <v>546</v>
      </c>
      <c r="B514" s="191">
        <v>44279</v>
      </c>
      <c r="C514" s="381" t="s">
        <v>570</v>
      </c>
      <c r="D514" s="101" t="s">
        <v>573</v>
      </c>
      <c r="E514" s="387">
        <v>20000</v>
      </c>
      <c r="F514" s="368"/>
      <c r="G514" s="397">
        <v>44377</v>
      </c>
      <c r="H514" s="101"/>
    </row>
    <row r="515" spans="1:8" s="195" customFormat="1" hidden="1" x14ac:dyDescent="0.25">
      <c r="A515" s="101"/>
      <c r="B515" s="191">
        <v>44377</v>
      </c>
      <c r="C515" s="381" t="s">
        <v>647</v>
      </c>
      <c r="D515" s="101"/>
      <c r="E515" s="387">
        <v>-115000</v>
      </c>
      <c r="F515" s="368"/>
      <c r="G515" s="397">
        <v>44377</v>
      </c>
      <c r="H515" s="101"/>
    </row>
    <row r="516" spans="1:8" s="195" customFormat="1" hidden="1" x14ac:dyDescent="0.25">
      <c r="A516" s="101" t="s">
        <v>458</v>
      </c>
      <c r="B516" s="191">
        <v>44532</v>
      </c>
      <c r="C516" s="101" t="s">
        <v>762</v>
      </c>
      <c r="D516" s="101" t="s">
        <v>760</v>
      </c>
      <c r="E516" s="387">
        <v>20000</v>
      </c>
      <c r="G516" s="368">
        <v>44865</v>
      </c>
      <c r="H516" s="101"/>
    </row>
    <row r="517" spans="1:8" s="195" customFormat="1" hidden="1" x14ac:dyDescent="0.25">
      <c r="A517" s="101" t="s">
        <v>179</v>
      </c>
      <c r="B517" s="366">
        <v>44562</v>
      </c>
      <c r="C517" s="101" t="s">
        <v>762</v>
      </c>
      <c r="D517" s="101" t="s">
        <v>797</v>
      </c>
      <c r="E517" s="66">
        <v>25000</v>
      </c>
      <c r="G517" s="368">
        <v>44865</v>
      </c>
      <c r="H517" s="101"/>
    </row>
    <row r="518" spans="1:8" hidden="1" x14ac:dyDescent="0.25">
      <c r="A518" s="101" t="s">
        <v>178</v>
      </c>
      <c r="B518" s="366">
        <v>44704</v>
      </c>
      <c r="C518" s="101" t="s">
        <v>762</v>
      </c>
      <c r="D518" s="101" t="s">
        <v>868</v>
      </c>
      <c r="E518" s="66">
        <v>8000</v>
      </c>
      <c r="G518" s="368">
        <v>44865</v>
      </c>
    </row>
    <row r="519" spans="1:8" s="195" customFormat="1" hidden="1" x14ac:dyDescent="0.25">
      <c r="A519" s="101" t="s">
        <v>178</v>
      </c>
      <c r="B519" s="191">
        <v>44409</v>
      </c>
      <c r="C519" s="101" t="s">
        <v>951</v>
      </c>
      <c r="D519" s="366" t="s">
        <v>709</v>
      </c>
      <c r="E519" s="363">
        <v>3500</v>
      </c>
      <c r="F519" s="364"/>
      <c r="G519" s="368">
        <v>44865</v>
      </c>
      <c r="H519" s="204" t="s">
        <v>952</v>
      </c>
    </row>
    <row r="520" spans="1:8" s="195" customFormat="1" hidden="1" x14ac:dyDescent="0.25">
      <c r="A520" s="101" t="s">
        <v>539</v>
      </c>
      <c r="B520" s="366">
        <v>44755</v>
      </c>
      <c r="C520" s="101" t="s">
        <v>762</v>
      </c>
      <c r="D520" s="101" t="s">
        <v>902</v>
      </c>
      <c r="E520" s="66">
        <v>20000</v>
      </c>
      <c r="G520" s="368">
        <v>44865</v>
      </c>
      <c r="H520" s="101"/>
    </row>
    <row r="521" spans="1:8" ht="15" hidden="1" customHeight="1" x14ac:dyDescent="0.25">
      <c r="A521" s="101" t="s">
        <v>186</v>
      </c>
      <c r="B521" s="366">
        <v>44774</v>
      </c>
      <c r="C521" s="101" t="s">
        <v>762</v>
      </c>
      <c r="D521" s="101" t="s">
        <v>903</v>
      </c>
      <c r="E521" s="66">
        <v>20000</v>
      </c>
      <c r="G521" s="368">
        <v>44865</v>
      </c>
    </row>
    <row r="522" spans="1:8" ht="15" hidden="1" customHeight="1" x14ac:dyDescent="0.25">
      <c r="A522" s="101" t="s">
        <v>912</v>
      </c>
      <c r="B522" s="191">
        <v>44756</v>
      </c>
      <c r="C522" s="101" t="s">
        <v>900</v>
      </c>
      <c r="D522" s="366" t="s">
        <v>901</v>
      </c>
      <c r="E522" s="363">
        <v>7500</v>
      </c>
      <c r="F522" s="364"/>
      <c r="G522" s="368">
        <v>44865</v>
      </c>
      <c r="H522" s="245" t="s">
        <v>952</v>
      </c>
    </row>
    <row r="523" spans="1:8" ht="15" hidden="1" customHeight="1" x14ac:dyDescent="0.25">
      <c r="A523" s="101" t="s">
        <v>596</v>
      </c>
      <c r="B523" s="191">
        <v>44846</v>
      </c>
      <c r="C523" s="101" t="s">
        <v>762</v>
      </c>
      <c r="D523" s="366" t="s">
        <v>953</v>
      </c>
      <c r="E523" s="363">
        <v>20000</v>
      </c>
      <c r="F523" s="364"/>
      <c r="G523" s="368">
        <v>44865</v>
      </c>
      <c r="H523" s="245"/>
    </row>
    <row r="524" spans="1:8" ht="15" hidden="1" customHeight="1" x14ac:dyDescent="0.25">
      <c r="A524" s="101" t="s">
        <v>520</v>
      </c>
      <c r="B524" s="191">
        <v>44866</v>
      </c>
      <c r="C524" s="101" t="s">
        <v>954</v>
      </c>
      <c r="D524" s="366" t="s">
        <v>955</v>
      </c>
      <c r="E524" s="363">
        <v>380</v>
      </c>
      <c r="F524" s="364"/>
      <c r="G524" s="368">
        <v>44865</v>
      </c>
      <c r="H524" s="245"/>
    </row>
    <row r="525" spans="1:8" hidden="1" x14ac:dyDescent="0.25">
      <c r="A525" s="101" t="s">
        <v>1179</v>
      </c>
      <c r="B525" s="191"/>
      <c r="C525" s="101" t="s">
        <v>956</v>
      </c>
      <c r="D525" s="366"/>
      <c r="E525" s="363">
        <v>-124380</v>
      </c>
      <c r="F525" s="364"/>
      <c r="G525" s="368">
        <v>44865</v>
      </c>
      <c r="H525" s="245"/>
    </row>
    <row r="526" spans="1:8" s="195" customFormat="1" hidden="1" x14ac:dyDescent="0.25">
      <c r="A526" s="101" t="s">
        <v>179</v>
      </c>
      <c r="B526" s="191">
        <v>44927</v>
      </c>
      <c r="C526" s="101" t="s">
        <v>1068</v>
      </c>
      <c r="D526" s="366" t="s">
        <v>1040</v>
      </c>
      <c r="E526" s="564">
        <f>25000-2525</f>
        <v>22475</v>
      </c>
      <c r="G526" s="572"/>
      <c r="H526" s="101"/>
    </row>
    <row r="527" spans="1:8" s="195" customFormat="1" hidden="1" x14ac:dyDescent="0.25">
      <c r="A527" s="101" t="s">
        <v>458</v>
      </c>
      <c r="B527" s="191">
        <v>44945</v>
      </c>
      <c r="C527" s="101" t="s">
        <v>1068</v>
      </c>
      <c r="D527" s="101" t="s">
        <v>1069</v>
      </c>
      <c r="E527" s="564">
        <f>25025-2525</f>
        <v>22500</v>
      </c>
      <c r="G527" s="572"/>
      <c r="H527" s="101"/>
    </row>
    <row r="528" spans="1:8" s="195" customFormat="1" hidden="1" x14ac:dyDescent="0.25">
      <c r="A528" s="101" t="s">
        <v>792</v>
      </c>
      <c r="B528" s="191">
        <v>44986</v>
      </c>
      <c r="C528" s="101" t="s">
        <v>1070</v>
      </c>
      <c r="D528" s="366" t="s">
        <v>1045</v>
      </c>
      <c r="E528" s="564">
        <f>10025-2525</f>
        <v>7500</v>
      </c>
      <c r="G528" s="572"/>
      <c r="H528" s="101"/>
    </row>
    <row r="529" spans="1:8" ht="17.100000000000001" hidden="1" customHeight="1" x14ac:dyDescent="0.25">
      <c r="A529" s="101" t="s">
        <v>162</v>
      </c>
      <c r="B529" s="191">
        <v>45005</v>
      </c>
      <c r="C529" s="101" t="s">
        <v>1141</v>
      </c>
      <c r="D529" s="366" t="s">
        <v>1097</v>
      </c>
      <c r="E529" s="363">
        <v>5975</v>
      </c>
      <c r="F529" s="364"/>
      <c r="G529" s="572"/>
      <c r="H529" s="365"/>
    </row>
    <row r="530" spans="1:8" hidden="1" x14ac:dyDescent="0.25">
      <c r="A530" s="101" t="s">
        <v>539</v>
      </c>
      <c r="B530" s="191">
        <v>45133</v>
      </c>
      <c r="C530" s="101" t="s">
        <v>1188</v>
      </c>
      <c r="D530" s="366" t="s">
        <v>1189</v>
      </c>
      <c r="E530" s="564">
        <v>2525</v>
      </c>
      <c r="F530" s="564"/>
      <c r="G530" s="368"/>
      <c r="H530" s="245"/>
    </row>
    <row r="531" spans="1:8" hidden="1" x14ac:dyDescent="0.25">
      <c r="A531" s="101" t="s">
        <v>960</v>
      </c>
      <c r="B531" s="191">
        <v>45139</v>
      </c>
      <c r="C531" s="101" t="s">
        <v>1190</v>
      </c>
      <c r="D531" s="366" t="s">
        <v>1191</v>
      </c>
      <c r="E531" s="564">
        <v>5025</v>
      </c>
      <c r="F531" s="564"/>
      <c r="G531" s="368"/>
      <c r="H531" s="245"/>
    </row>
    <row r="532" spans="1:8" hidden="1" x14ac:dyDescent="0.25">
      <c r="A532" s="101" t="s">
        <v>1151</v>
      </c>
      <c r="B532" s="191">
        <v>45139</v>
      </c>
      <c r="C532" s="101" t="s">
        <v>1192</v>
      </c>
      <c r="D532" s="366" t="s">
        <v>1177</v>
      </c>
      <c r="E532" s="564">
        <v>5025</v>
      </c>
      <c r="F532" s="564"/>
      <c r="G532" s="368"/>
      <c r="H532" s="245"/>
    </row>
    <row r="533" spans="1:8" hidden="1" x14ac:dyDescent="0.25">
      <c r="A533" s="101" t="s">
        <v>1193</v>
      </c>
      <c r="B533" s="191">
        <v>45141</v>
      </c>
      <c r="C533" s="101" t="s">
        <v>1226</v>
      </c>
      <c r="D533" s="366" t="s">
        <v>1194</v>
      </c>
      <c r="E533" s="564">
        <v>500</v>
      </c>
      <c r="F533" s="564"/>
      <c r="G533" s="368"/>
      <c r="H533" s="245"/>
    </row>
    <row r="534" spans="1:8" hidden="1" x14ac:dyDescent="0.25">
      <c r="A534" s="101" t="s">
        <v>1035</v>
      </c>
      <c r="B534" s="191">
        <v>45161</v>
      </c>
      <c r="C534" s="101" t="s">
        <v>1227</v>
      </c>
      <c r="D534" s="366" t="s">
        <v>1228</v>
      </c>
      <c r="E534" s="564">
        <v>25025</v>
      </c>
      <c r="F534" s="564"/>
      <c r="G534" s="368"/>
      <c r="H534" s="245"/>
    </row>
    <row r="535" spans="1:8" hidden="1" x14ac:dyDescent="0.25">
      <c r="A535" s="101" t="s">
        <v>1229</v>
      </c>
      <c r="B535" s="191">
        <v>45161</v>
      </c>
      <c r="C535" s="101" t="s">
        <v>1312</v>
      </c>
      <c r="D535" s="366" t="s">
        <v>1230</v>
      </c>
      <c r="E535" s="564">
        <v>2525</v>
      </c>
      <c r="F535" s="564"/>
      <c r="G535" s="368"/>
      <c r="H535" s="245"/>
    </row>
    <row r="536" spans="1:8" hidden="1" x14ac:dyDescent="0.25">
      <c r="A536" s="101" t="s">
        <v>1231</v>
      </c>
      <c r="B536" s="191">
        <v>45182</v>
      </c>
      <c r="C536" s="101" t="s">
        <v>1188</v>
      </c>
      <c r="D536" s="366" t="s">
        <v>1232</v>
      </c>
      <c r="E536" s="564">
        <v>2525</v>
      </c>
      <c r="F536" s="564"/>
      <c r="G536" s="368"/>
      <c r="H536" s="245"/>
    </row>
    <row r="537" spans="1:8" hidden="1" x14ac:dyDescent="0.25">
      <c r="A537" s="101" t="s">
        <v>819</v>
      </c>
      <c r="B537" s="191">
        <v>45207</v>
      </c>
      <c r="C537" s="101" t="s">
        <v>1188</v>
      </c>
      <c r="D537" s="366" t="s">
        <v>1313</v>
      </c>
      <c r="E537" s="564">
        <v>2525</v>
      </c>
      <c r="F537" s="564"/>
      <c r="G537" s="368"/>
      <c r="H537" s="245"/>
    </row>
    <row r="538" spans="1:8" ht="15.75" hidden="1" thickBot="1" x14ac:dyDescent="0.3">
      <c r="B538" s="191"/>
      <c r="D538" s="366"/>
      <c r="E538" s="439">
        <f>SUM(E526:E537)</f>
        <v>104125</v>
      </c>
      <c r="F538" s="364"/>
      <c r="G538" s="368">
        <v>45230</v>
      </c>
      <c r="H538" s="245"/>
    </row>
    <row r="539" spans="1:8" x14ac:dyDescent="0.25">
      <c r="B539" s="191"/>
      <c r="D539" s="366"/>
      <c r="E539" s="387"/>
      <c r="F539" s="225"/>
      <c r="G539" s="193"/>
    </row>
    <row r="540" spans="1:8" x14ac:dyDescent="0.25">
      <c r="A540" s="163" t="s">
        <v>393</v>
      </c>
      <c r="B540" s="191"/>
      <c r="D540" s="366"/>
      <c r="E540" s="387"/>
      <c r="F540" s="225"/>
      <c r="G540" s="424" t="s">
        <v>672</v>
      </c>
    </row>
    <row r="541" spans="1:8" hidden="1" x14ac:dyDescent="0.25">
      <c r="A541" s="101" t="s">
        <v>207</v>
      </c>
      <c r="B541" s="191">
        <v>43691</v>
      </c>
      <c r="C541" s="101" t="s">
        <v>305</v>
      </c>
      <c r="D541" s="101" t="s">
        <v>153</v>
      </c>
      <c r="E541" s="399">
        <v>1500</v>
      </c>
      <c r="F541" s="225"/>
      <c r="G541" s="397"/>
      <c r="H541" s="245" t="s">
        <v>394</v>
      </c>
    </row>
    <row r="542" spans="1:8" hidden="1" x14ac:dyDescent="0.25">
      <c r="A542" s="101" t="s">
        <v>207</v>
      </c>
      <c r="B542" s="191">
        <v>43691</v>
      </c>
      <c r="C542" s="101" t="s">
        <v>305</v>
      </c>
      <c r="D542" s="101" t="s">
        <v>153</v>
      </c>
      <c r="E542" s="399">
        <v>1500</v>
      </c>
      <c r="F542" s="225"/>
      <c r="G542" s="397"/>
      <c r="H542" s="245" t="s">
        <v>394</v>
      </c>
    </row>
    <row r="543" spans="1:8" hidden="1" x14ac:dyDescent="0.25">
      <c r="A543" s="101" t="s">
        <v>207</v>
      </c>
      <c r="B543" s="191">
        <v>43691</v>
      </c>
      <c r="C543" s="101" t="s">
        <v>395</v>
      </c>
      <c r="D543" s="101" t="s">
        <v>153</v>
      </c>
      <c r="E543" s="399">
        <v>1500</v>
      </c>
      <c r="F543" s="225"/>
      <c r="G543" s="397"/>
      <c r="H543" s="245" t="s">
        <v>394</v>
      </c>
    </row>
    <row r="544" spans="1:8" hidden="1" x14ac:dyDescent="0.25">
      <c r="A544" s="101" t="s">
        <v>450</v>
      </c>
      <c r="B544" s="425">
        <v>43891</v>
      </c>
      <c r="C544" s="101" t="s">
        <v>396</v>
      </c>
      <c r="D544" s="101" t="s">
        <v>397</v>
      </c>
      <c r="E544" s="403">
        <v>3500</v>
      </c>
      <c r="F544" s="402"/>
      <c r="G544" s="397">
        <v>44313</v>
      </c>
      <c r="H544" s="245" t="s">
        <v>398</v>
      </c>
    </row>
    <row r="545" spans="1:8" hidden="1" x14ac:dyDescent="0.25">
      <c r="A545" s="101" t="s">
        <v>408</v>
      </c>
      <c r="B545" s="191">
        <v>44071</v>
      </c>
      <c r="C545" s="101" t="s">
        <v>409</v>
      </c>
      <c r="D545" s="101" t="s">
        <v>402</v>
      </c>
      <c r="E545" s="387">
        <v>3500</v>
      </c>
      <c r="G545" s="397"/>
      <c r="H545" s="426" t="s">
        <v>437</v>
      </c>
    </row>
    <row r="546" spans="1:8" hidden="1" x14ac:dyDescent="0.25">
      <c r="A546" s="101" t="s">
        <v>107</v>
      </c>
      <c r="B546" s="191">
        <v>44136</v>
      </c>
      <c r="C546" s="366" t="s">
        <v>469</v>
      </c>
      <c r="D546" s="101" t="s">
        <v>460</v>
      </c>
      <c r="E546" s="422">
        <v>5000</v>
      </c>
      <c r="F546" s="364"/>
      <c r="G546" s="397">
        <v>44186</v>
      </c>
      <c r="H546" s="245" t="s">
        <v>510</v>
      </c>
    </row>
    <row r="547" spans="1:8" hidden="1" x14ac:dyDescent="0.25">
      <c r="A547" s="101" t="s">
        <v>156</v>
      </c>
      <c r="B547" s="191">
        <v>44227</v>
      </c>
      <c r="C547" s="101" t="s">
        <v>446</v>
      </c>
      <c r="D547" s="101" t="s">
        <v>517</v>
      </c>
      <c r="E547" s="387">
        <v>3500</v>
      </c>
      <c r="F547" s="364"/>
      <c r="G547" s="397">
        <v>44250</v>
      </c>
      <c r="H547" s="245" t="s">
        <v>562</v>
      </c>
    </row>
    <row r="548" spans="1:8" hidden="1" x14ac:dyDescent="0.25">
      <c r="A548" s="101" t="s">
        <v>450</v>
      </c>
      <c r="B548" s="191">
        <v>44137</v>
      </c>
      <c r="C548" s="101" t="s">
        <v>448</v>
      </c>
      <c r="D548" s="101" t="s">
        <v>449</v>
      </c>
      <c r="E548" s="387">
        <v>3500</v>
      </c>
      <c r="F548" s="401"/>
      <c r="G548" s="397">
        <v>44378</v>
      </c>
      <c r="H548" s="245"/>
    </row>
    <row r="549" spans="1:8" ht="15" hidden="1" customHeight="1" x14ac:dyDescent="0.25">
      <c r="A549" s="101" t="s">
        <v>450</v>
      </c>
      <c r="B549" s="191">
        <v>44137</v>
      </c>
      <c r="C549" s="101" t="s">
        <v>305</v>
      </c>
      <c r="D549" s="101" t="s">
        <v>449</v>
      </c>
      <c r="E549" s="387">
        <v>4500</v>
      </c>
      <c r="F549" s="401"/>
      <c r="G549" s="397">
        <v>44378</v>
      </c>
    </row>
    <row r="550" spans="1:8" hidden="1" x14ac:dyDescent="0.25">
      <c r="A550" s="101" t="s">
        <v>512</v>
      </c>
      <c r="B550" s="366">
        <v>44562</v>
      </c>
      <c r="C550" s="101" t="s">
        <v>820</v>
      </c>
      <c r="D550" s="101" t="s">
        <v>798</v>
      </c>
      <c r="E550" s="66">
        <v>3500</v>
      </c>
      <c r="F550" s="364" t="s">
        <v>215</v>
      </c>
      <c r="G550" s="245" t="s">
        <v>884</v>
      </c>
      <c r="H550" s="365"/>
    </row>
    <row r="551" spans="1:8" hidden="1" x14ac:dyDescent="0.25">
      <c r="A551" s="101" t="s">
        <v>959</v>
      </c>
      <c r="B551" s="191">
        <v>44894</v>
      </c>
      <c r="C551" s="101" t="s">
        <v>995</v>
      </c>
      <c r="D551" s="101" t="s">
        <v>996</v>
      </c>
      <c r="E551" s="564">
        <v>3000</v>
      </c>
      <c r="F551" s="387"/>
      <c r="G551" s="397">
        <v>44976</v>
      </c>
      <c r="H551" s="245"/>
    </row>
    <row r="552" spans="1:8" hidden="1" x14ac:dyDescent="0.25">
      <c r="A552" s="101" t="s">
        <v>158</v>
      </c>
      <c r="B552" s="191">
        <v>44958</v>
      </c>
      <c r="C552" s="101" t="s">
        <v>1065</v>
      </c>
      <c r="D552" s="366" t="s">
        <v>1042</v>
      </c>
      <c r="E552" s="363">
        <v>3500</v>
      </c>
      <c r="F552" s="364"/>
      <c r="G552" s="397">
        <v>45020</v>
      </c>
      <c r="H552" s="365"/>
    </row>
    <row r="553" spans="1:8" s="182" customFormat="1" hidden="1" x14ac:dyDescent="0.25">
      <c r="A553" s="204" t="s">
        <v>178</v>
      </c>
      <c r="B553" s="357">
        <v>45139</v>
      </c>
      <c r="C553" s="204" t="s">
        <v>1221</v>
      </c>
      <c r="D553" s="362" t="s">
        <v>1340</v>
      </c>
      <c r="E553" s="363">
        <v>3500</v>
      </c>
      <c r="F553" s="368"/>
      <c r="G553" s="462">
        <v>45293</v>
      </c>
      <c r="H553" s="463"/>
    </row>
  </sheetData>
  <mergeCells count="4">
    <mergeCell ref="A26:A27"/>
    <mergeCell ref="B26:B27"/>
    <mergeCell ref="A28:A29"/>
    <mergeCell ref="B28:B29"/>
  </mergeCells>
  <conditionalFormatting sqref="A263:A270 A335:A348">
    <cfRule type="containsText" dxfId="1" priority="1" operator="containsText" text="intuit">
      <formula>NOT(ISERROR(SEARCH("intuit",A263)))</formula>
    </cfRule>
  </conditionalFormatting>
  <conditionalFormatting sqref="H225:H237 H240:H241 H344:H348 H350:H372 H553">
    <cfRule type="containsText" dxfId="0" priority="2" operator="containsText" text="false">
      <formula>NOT(ISERROR(SEARCH("false",H225)))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G72"/>
  <sheetViews>
    <sheetView zoomScale="110" zoomScaleNormal="110" workbookViewId="0">
      <pane ySplit="5" topLeftCell="A6" activePane="bottomLeft" state="frozen"/>
      <selection pane="bottomLeft" activeCell="A84" sqref="A84"/>
    </sheetView>
  </sheetViews>
  <sheetFormatPr defaultColWidth="9.140625" defaultRowHeight="15" x14ac:dyDescent="0.25"/>
  <cols>
    <col min="1" max="1" width="42.140625" customWidth="1"/>
    <col min="2" max="2" width="12" bestFit="1" customWidth="1"/>
    <col min="3" max="6" width="11.42578125" customWidth="1"/>
    <col min="7" max="7" width="12.5703125" bestFit="1" customWidth="1"/>
  </cols>
  <sheetData>
    <row r="1" spans="1:7" ht="18.75" x14ac:dyDescent="0.3">
      <c r="A1" s="732" t="s">
        <v>1034</v>
      </c>
      <c r="B1" s="733"/>
      <c r="C1" s="733"/>
      <c r="D1" s="733"/>
      <c r="E1" s="733"/>
      <c r="F1" s="733"/>
      <c r="G1" s="733"/>
    </row>
    <row r="2" spans="1:7" ht="18.75" x14ac:dyDescent="0.3">
      <c r="A2" s="732" t="s">
        <v>54</v>
      </c>
      <c r="B2" s="733"/>
      <c r="C2" s="733"/>
      <c r="D2" s="733"/>
      <c r="E2" s="733"/>
      <c r="F2" s="733"/>
      <c r="G2" s="733"/>
    </row>
    <row r="3" spans="1:7" x14ac:dyDescent="0.25">
      <c r="A3" s="734" t="s">
        <v>1583</v>
      </c>
      <c r="B3" s="735"/>
      <c r="C3" s="735"/>
      <c r="D3" s="735"/>
      <c r="E3" s="735"/>
      <c r="F3" s="735"/>
      <c r="G3" s="735"/>
    </row>
    <row r="5" spans="1:7" x14ac:dyDescent="0.25">
      <c r="A5" s="586"/>
      <c r="B5" s="469" t="s">
        <v>1389</v>
      </c>
      <c r="C5" s="469" t="s">
        <v>1388</v>
      </c>
      <c r="D5" s="469" t="s">
        <v>1387</v>
      </c>
      <c r="E5" s="469" t="s">
        <v>1386</v>
      </c>
      <c r="F5" s="469" t="s">
        <v>1385</v>
      </c>
      <c r="G5" s="469" t="s">
        <v>1</v>
      </c>
    </row>
    <row r="6" spans="1:7" x14ac:dyDescent="0.25">
      <c r="A6" s="39" t="s">
        <v>2</v>
      </c>
      <c r="B6" s="587"/>
      <c r="C6" s="587"/>
      <c r="D6" s="587"/>
      <c r="E6" s="587"/>
      <c r="F6" s="587"/>
      <c r="G6" s="587"/>
    </row>
    <row r="7" spans="1:7" x14ac:dyDescent="0.25">
      <c r="A7" s="39" t="s">
        <v>3</v>
      </c>
      <c r="B7" s="587"/>
      <c r="C7" s="587"/>
      <c r="D7" s="587"/>
      <c r="E7" s="587"/>
      <c r="F7" s="587"/>
      <c r="G7" s="588">
        <f t="shared" ref="G7:G28" si="0">((((B7)+(C7))+(D7))+(E7))+(F7)</f>
        <v>0</v>
      </c>
    </row>
    <row r="8" spans="1:7" x14ac:dyDescent="0.25">
      <c r="A8" s="39" t="s">
        <v>4</v>
      </c>
      <c r="B8" s="588">
        <f>34166.65</f>
        <v>34166.65</v>
      </c>
      <c r="C8" s="588">
        <f>32291.65</f>
        <v>32291.65</v>
      </c>
      <c r="D8" s="588">
        <f>35625.02</f>
        <v>35625.019999999997</v>
      </c>
      <c r="E8" s="588">
        <f>36249.95</f>
        <v>36249.949999999997</v>
      </c>
      <c r="F8" s="588">
        <f>35833.31</f>
        <v>35833.31</v>
      </c>
      <c r="G8" s="588">
        <f t="shared" si="0"/>
        <v>174166.58000000002</v>
      </c>
    </row>
    <row r="9" spans="1:7" x14ac:dyDescent="0.25">
      <c r="A9" s="39" t="s">
        <v>5</v>
      </c>
      <c r="B9" s="587"/>
      <c r="C9" s="587"/>
      <c r="D9" s="587"/>
      <c r="E9" s="587"/>
      <c r="F9" s="587"/>
      <c r="G9" s="588">
        <f t="shared" si="0"/>
        <v>0</v>
      </c>
    </row>
    <row r="10" spans="1:7" x14ac:dyDescent="0.25">
      <c r="A10" s="39" t="s">
        <v>726</v>
      </c>
      <c r="B10" s="587"/>
      <c r="C10" s="587"/>
      <c r="D10" s="587"/>
      <c r="E10" s="587"/>
      <c r="F10" s="587"/>
      <c r="G10" s="588"/>
    </row>
    <row r="11" spans="1:7" x14ac:dyDescent="0.25">
      <c r="A11" s="39" t="s">
        <v>727</v>
      </c>
      <c r="B11" s="588">
        <f>335</f>
        <v>335</v>
      </c>
      <c r="C11" s="588">
        <f>12532.5</f>
        <v>12532.5</v>
      </c>
      <c r="D11" s="588">
        <f>7325</f>
        <v>7325</v>
      </c>
      <c r="E11" s="588">
        <f>1750</f>
        <v>1750</v>
      </c>
      <c r="F11" s="588">
        <f>-820</f>
        <v>-820</v>
      </c>
      <c r="G11" s="588">
        <f t="shared" si="0"/>
        <v>21122.5</v>
      </c>
    </row>
    <row r="12" spans="1:7" x14ac:dyDescent="0.25">
      <c r="A12" s="39" t="s">
        <v>6</v>
      </c>
      <c r="B12" s="471">
        <f>(B9)+(B11)</f>
        <v>335</v>
      </c>
      <c r="C12" s="471">
        <f>(C9)+(C11)</f>
        <v>12532.5</v>
      </c>
      <c r="D12" s="471">
        <f>(D9)+(D11)</f>
        <v>7325</v>
      </c>
      <c r="E12" s="471">
        <f>(E9)+(E11)</f>
        <v>1750</v>
      </c>
      <c r="F12" s="471">
        <f>(F9)+(F11)</f>
        <v>-820</v>
      </c>
      <c r="G12" s="471">
        <f t="shared" si="0"/>
        <v>21122.5</v>
      </c>
    </row>
    <row r="13" spans="1:7" x14ac:dyDescent="0.25">
      <c r="A13" s="39" t="s">
        <v>7</v>
      </c>
      <c r="B13" s="587"/>
      <c r="C13" s="587"/>
      <c r="D13" s="587"/>
      <c r="E13" s="587"/>
      <c r="F13" s="587"/>
      <c r="G13" s="588">
        <f t="shared" si="0"/>
        <v>0</v>
      </c>
    </row>
    <row r="14" spans="1:7" x14ac:dyDescent="0.25">
      <c r="A14" s="39" t="s">
        <v>728</v>
      </c>
      <c r="B14" s="587"/>
      <c r="C14" s="587"/>
      <c r="D14" s="587"/>
      <c r="E14" s="587"/>
      <c r="F14" s="587"/>
      <c r="G14" s="588"/>
    </row>
    <row r="15" spans="1:7" x14ac:dyDescent="0.25">
      <c r="A15" s="39" t="s">
        <v>729</v>
      </c>
      <c r="B15" s="587"/>
      <c r="C15" s="588">
        <f>9500</f>
        <v>9500</v>
      </c>
      <c r="D15" s="588">
        <f>13000</f>
        <v>13000</v>
      </c>
      <c r="E15" s="588">
        <f>3500</f>
        <v>3500</v>
      </c>
      <c r="F15" s="588">
        <f>3500</f>
        <v>3500</v>
      </c>
      <c r="G15" s="588">
        <f t="shared" si="0"/>
        <v>29500</v>
      </c>
    </row>
    <row r="16" spans="1:7" x14ac:dyDescent="0.25">
      <c r="A16" s="39" t="s">
        <v>8</v>
      </c>
      <c r="B16" s="471">
        <f>(B13)+(B15)</f>
        <v>0</v>
      </c>
      <c r="C16" s="471">
        <f>(C13)+(C15)</f>
        <v>9500</v>
      </c>
      <c r="D16" s="471">
        <f>(D13)+(D15)</f>
        <v>13000</v>
      </c>
      <c r="E16" s="471">
        <f>(E13)+(E15)</f>
        <v>3500</v>
      </c>
      <c r="F16" s="471">
        <f>(F13)+(F15)</f>
        <v>3500</v>
      </c>
      <c r="G16" s="471">
        <f t="shared" si="0"/>
        <v>29500</v>
      </c>
    </row>
    <row r="17" spans="1:7" x14ac:dyDescent="0.25">
      <c r="A17" s="39" t="s">
        <v>99</v>
      </c>
      <c r="B17" s="589"/>
      <c r="C17" s="589"/>
      <c r="D17" s="589"/>
      <c r="E17" s="589"/>
      <c r="F17" s="589"/>
      <c r="G17" s="589"/>
    </row>
    <row r="18" spans="1:7" x14ac:dyDescent="0.25">
      <c r="A18" s="39" t="s">
        <v>9</v>
      </c>
      <c r="B18" s="587"/>
      <c r="C18" s="587"/>
      <c r="D18" s="587"/>
      <c r="E18" s="587"/>
      <c r="F18" s="587"/>
      <c r="G18" s="588">
        <f t="shared" si="0"/>
        <v>0</v>
      </c>
    </row>
    <row r="19" spans="1:7" x14ac:dyDescent="0.25">
      <c r="A19" s="39" t="s">
        <v>10</v>
      </c>
      <c r="B19" s="588">
        <f>3515</f>
        <v>3515</v>
      </c>
      <c r="C19" s="588">
        <f>1865</f>
        <v>1865</v>
      </c>
      <c r="D19" s="588">
        <f>3755</f>
        <v>3755</v>
      </c>
      <c r="E19" s="588">
        <f>2435</f>
        <v>2435</v>
      </c>
      <c r="F19" s="588">
        <f>3205</f>
        <v>3205</v>
      </c>
      <c r="G19" s="588">
        <f t="shared" si="0"/>
        <v>14775</v>
      </c>
    </row>
    <row r="20" spans="1:7" x14ac:dyDescent="0.25">
      <c r="A20" s="39" t="s">
        <v>11</v>
      </c>
      <c r="B20" s="588">
        <f>2090</f>
        <v>2090</v>
      </c>
      <c r="C20" s="588">
        <f>1865</f>
        <v>1865</v>
      </c>
      <c r="D20" s="588">
        <f>1540</f>
        <v>1540</v>
      </c>
      <c r="E20" s="588">
        <f>2365</f>
        <v>2365</v>
      </c>
      <c r="F20" s="588">
        <f>1397.5</f>
        <v>1397.5</v>
      </c>
      <c r="G20" s="588">
        <f t="shared" si="0"/>
        <v>9257.5</v>
      </c>
    </row>
    <row r="21" spans="1:7" x14ac:dyDescent="0.25">
      <c r="A21" s="39" t="s">
        <v>12</v>
      </c>
      <c r="B21" s="471">
        <f>((B18)+(B19))+(B20)</f>
        <v>5605</v>
      </c>
      <c r="C21" s="471">
        <f>((C18)+(C19))+(C20)</f>
        <v>3730</v>
      </c>
      <c r="D21" s="471">
        <f>((D18)+(D19))+(D20)</f>
        <v>5295</v>
      </c>
      <c r="E21" s="471">
        <f>((E18)+(E19))+(E20)</f>
        <v>4800</v>
      </c>
      <c r="F21" s="471">
        <f>((F18)+(F19))+(F20)</f>
        <v>4602.5</v>
      </c>
      <c r="G21" s="471">
        <f t="shared" si="0"/>
        <v>24032.5</v>
      </c>
    </row>
    <row r="22" spans="1:7" x14ac:dyDescent="0.25">
      <c r="A22" s="39" t="s">
        <v>918</v>
      </c>
      <c r="B22" s="588">
        <f>648.09</f>
        <v>648.09</v>
      </c>
      <c r="C22" s="588">
        <f>628.48</f>
        <v>628.48</v>
      </c>
      <c r="D22" s="588">
        <f>629.76</f>
        <v>629.76</v>
      </c>
      <c r="E22" s="588">
        <f>652.09</f>
        <v>652.09</v>
      </c>
      <c r="F22" s="588">
        <f>632.37</f>
        <v>632.37</v>
      </c>
      <c r="G22" s="588">
        <f t="shared" si="0"/>
        <v>3190.79</v>
      </c>
    </row>
    <row r="23" spans="1:7" x14ac:dyDescent="0.25">
      <c r="A23" s="39" t="s">
        <v>13</v>
      </c>
      <c r="B23" s="471">
        <f>(((((B7)+(B8))+(B12))+(B16))+(B21))+(B22)</f>
        <v>40754.74</v>
      </c>
      <c r="C23" s="471">
        <f>(((((C7)+(C8))+(C12))+(C16))+(C21))+(C22)</f>
        <v>58682.630000000005</v>
      </c>
      <c r="D23" s="471">
        <f>(((((D7)+(D8))+(D12))+(D16))+(D21))+(D22)</f>
        <v>61874.78</v>
      </c>
      <c r="E23" s="471">
        <f>(((((E7)+(E8))+(E12))+(E16))+(E21))+(E22)</f>
        <v>46952.039999999994</v>
      </c>
      <c r="F23" s="471">
        <f>(((((F7)+(F8))+(F12))+(F16))+(F21))+(F22)</f>
        <v>43748.18</v>
      </c>
      <c r="G23" s="471">
        <f t="shared" si="0"/>
        <v>252012.37</v>
      </c>
    </row>
    <row r="24" spans="1:7" x14ac:dyDescent="0.25">
      <c r="A24" s="39" t="s">
        <v>961</v>
      </c>
      <c r="B24" s="471"/>
      <c r="C24" s="471"/>
      <c r="D24" s="471"/>
      <c r="E24" s="471"/>
      <c r="F24" s="471"/>
      <c r="G24" s="471"/>
    </row>
    <row r="25" spans="1:7" x14ac:dyDescent="0.25">
      <c r="A25" s="39" t="s">
        <v>962</v>
      </c>
      <c r="B25" s="589"/>
      <c r="C25" s="589"/>
      <c r="D25" s="589"/>
      <c r="E25" s="589"/>
      <c r="F25" s="589"/>
      <c r="G25" s="39"/>
    </row>
    <row r="26" spans="1:7" x14ac:dyDescent="0.25">
      <c r="A26" s="590" t="s">
        <v>963</v>
      </c>
      <c r="B26" s="589"/>
      <c r="C26" s="589"/>
      <c r="D26" s="589"/>
      <c r="E26" s="589"/>
      <c r="F26" s="589"/>
      <c r="G26" s="589"/>
    </row>
    <row r="27" spans="1:7" x14ac:dyDescent="0.25">
      <c r="A27" s="39" t="s">
        <v>14</v>
      </c>
      <c r="B27" s="471">
        <f>B23</f>
        <v>40754.74</v>
      </c>
      <c r="C27" s="471">
        <f>C23</f>
        <v>58682.630000000005</v>
      </c>
      <c r="D27" s="471">
        <f>D23</f>
        <v>61874.78</v>
      </c>
      <c r="E27" s="471">
        <f>E23</f>
        <v>46952.039999999994</v>
      </c>
      <c r="F27" s="471">
        <f>F23</f>
        <v>43748.18</v>
      </c>
      <c r="G27" s="471">
        <f t="shared" si="0"/>
        <v>252012.37</v>
      </c>
    </row>
    <row r="28" spans="1:7" x14ac:dyDescent="0.25">
      <c r="A28" s="39" t="s">
        <v>15</v>
      </c>
      <c r="B28" s="471">
        <f>(B27)-(0)</f>
        <v>40754.74</v>
      </c>
      <c r="C28" s="471">
        <f>(C27)-(0)</f>
        <v>58682.630000000005</v>
      </c>
      <c r="D28" s="471">
        <f>(D27)-(0)</f>
        <v>61874.78</v>
      </c>
      <c r="E28" s="471">
        <f>(E27)-(0)</f>
        <v>46952.039999999994</v>
      </c>
      <c r="F28" s="471">
        <f>(F27)-(0)</f>
        <v>43748.18</v>
      </c>
      <c r="G28" s="471">
        <f t="shared" si="0"/>
        <v>252012.37</v>
      </c>
    </row>
    <row r="29" spans="1:7" x14ac:dyDescent="0.25">
      <c r="A29" s="39" t="s">
        <v>16</v>
      </c>
      <c r="B29" s="587"/>
      <c r="C29" s="587"/>
      <c r="D29" s="587"/>
      <c r="E29" s="587"/>
      <c r="F29" s="587"/>
      <c r="G29" s="587"/>
    </row>
    <row r="30" spans="1:7" x14ac:dyDescent="0.25">
      <c r="A30" s="39" t="s">
        <v>17</v>
      </c>
      <c r="B30" s="587"/>
      <c r="C30" s="587"/>
      <c r="D30" s="587"/>
      <c r="E30" s="587"/>
      <c r="F30" s="587"/>
      <c r="G30" s="588">
        <f t="shared" ref="G30:G72" si="1">((((B30)+(C30))+(D30))+(E30))+(F30)</f>
        <v>0</v>
      </c>
    </row>
    <row r="31" spans="1:7" x14ac:dyDescent="0.25">
      <c r="A31" s="39" t="s">
        <v>18</v>
      </c>
      <c r="B31" s="587"/>
      <c r="C31" s="587"/>
      <c r="D31" s="587"/>
      <c r="E31" s="587"/>
      <c r="F31" s="587"/>
      <c r="G31" s="588">
        <f t="shared" si="1"/>
        <v>0</v>
      </c>
    </row>
    <row r="32" spans="1:7" x14ac:dyDescent="0.25">
      <c r="A32" s="39" t="s">
        <v>19</v>
      </c>
      <c r="B32" s="588">
        <f>171.58</f>
        <v>171.58</v>
      </c>
      <c r="C32" s="588">
        <f>171.58</f>
        <v>171.58</v>
      </c>
      <c r="D32" s="588">
        <f>171.58</f>
        <v>171.58</v>
      </c>
      <c r="E32" s="588">
        <f>171.58</f>
        <v>171.58</v>
      </c>
      <c r="F32" s="588">
        <f>171.58</f>
        <v>171.58</v>
      </c>
      <c r="G32" s="588">
        <f t="shared" si="1"/>
        <v>857.90000000000009</v>
      </c>
    </row>
    <row r="33" spans="1:7" x14ac:dyDescent="0.25">
      <c r="A33" s="39" t="s">
        <v>20</v>
      </c>
      <c r="B33" s="588">
        <f>332</f>
        <v>332</v>
      </c>
      <c r="C33" s="588">
        <f>332</f>
        <v>332</v>
      </c>
      <c r="D33" s="588">
        <f>332</f>
        <v>332</v>
      </c>
      <c r="E33" s="588">
        <f>332</f>
        <v>332</v>
      </c>
      <c r="F33" s="588">
        <f>332</f>
        <v>332</v>
      </c>
      <c r="G33" s="588">
        <f t="shared" si="1"/>
        <v>1660</v>
      </c>
    </row>
    <row r="34" spans="1:7" x14ac:dyDescent="0.25">
      <c r="A34" s="39" t="s">
        <v>21</v>
      </c>
      <c r="B34" s="588">
        <f>71.07</f>
        <v>71.069999999999993</v>
      </c>
      <c r="C34" s="588">
        <f>1119.48</f>
        <v>1119.48</v>
      </c>
      <c r="D34" s="588">
        <f>69.24</f>
        <v>69.239999999999995</v>
      </c>
      <c r="E34" s="588">
        <f>69.24</f>
        <v>69.239999999999995</v>
      </c>
      <c r="F34" s="588">
        <f>70.16</f>
        <v>70.16</v>
      </c>
      <c r="G34" s="588">
        <f t="shared" si="1"/>
        <v>1399.19</v>
      </c>
    </row>
    <row r="35" spans="1:7" x14ac:dyDescent="0.25">
      <c r="A35" s="39" t="s">
        <v>22</v>
      </c>
      <c r="B35" s="471">
        <f>(((B31)+(B32))+(B33))+(B34)</f>
        <v>574.65000000000009</v>
      </c>
      <c r="C35" s="471">
        <f>(((C31)+(C32))+(C33))+(C34)</f>
        <v>1623.06</v>
      </c>
      <c r="D35" s="471">
        <f>(((D31)+(D32))+(D33))+(D34)</f>
        <v>572.82000000000005</v>
      </c>
      <c r="E35" s="471">
        <f>(((E31)+(E32))+(E33))+(E34)</f>
        <v>572.82000000000005</v>
      </c>
      <c r="F35" s="471">
        <f>(((F31)+(F32))+(F33))+(F34)</f>
        <v>573.74</v>
      </c>
      <c r="G35" s="471">
        <f t="shared" si="1"/>
        <v>3917.09</v>
      </c>
    </row>
    <row r="36" spans="1:7" x14ac:dyDescent="0.25">
      <c r="A36" s="39" t="s">
        <v>23</v>
      </c>
      <c r="B36" s="588">
        <f>905.85</f>
        <v>905.85</v>
      </c>
      <c r="C36" s="588">
        <f>1698.93</f>
        <v>1698.93</v>
      </c>
      <c r="D36" s="588">
        <f>1169.16</f>
        <v>1169.1600000000001</v>
      </c>
      <c r="E36" s="588">
        <f>1172.7</f>
        <v>1172.7</v>
      </c>
      <c r="F36" s="588">
        <f>1433.9</f>
        <v>1433.9</v>
      </c>
      <c r="G36" s="588">
        <f t="shared" si="1"/>
        <v>6380.5400000000009</v>
      </c>
    </row>
    <row r="37" spans="1:7" x14ac:dyDescent="0.25">
      <c r="A37" s="39" t="s">
        <v>24</v>
      </c>
      <c r="B37" s="587"/>
      <c r="C37" s="587"/>
      <c r="D37" s="587"/>
      <c r="E37" s="587"/>
      <c r="F37" s="588">
        <f>58.29</f>
        <v>58.29</v>
      </c>
      <c r="G37" s="588">
        <f t="shared" si="1"/>
        <v>58.29</v>
      </c>
    </row>
    <row r="38" spans="1:7" x14ac:dyDescent="0.25">
      <c r="A38" s="39" t="s">
        <v>25</v>
      </c>
      <c r="B38" s="588">
        <f>319.16</f>
        <v>319.16000000000003</v>
      </c>
      <c r="C38" s="588">
        <f>873.25</f>
        <v>873.25</v>
      </c>
      <c r="D38" s="588">
        <f>559.8</f>
        <v>559.79999999999995</v>
      </c>
      <c r="E38" s="588">
        <f>277.09</f>
        <v>277.08999999999997</v>
      </c>
      <c r="F38" s="588">
        <f>354.96</f>
        <v>354.96</v>
      </c>
      <c r="G38" s="588">
        <f t="shared" si="1"/>
        <v>2384.2599999999998</v>
      </c>
    </row>
    <row r="39" spans="1:7" x14ac:dyDescent="0.25">
      <c r="A39" s="39" t="s">
        <v>26</v>
      </c>
      <c r="B39" s="588">
        <f>1358.44</f>
        <v>1358.44</v>
      </c>
      <c r="C39" s="588">
        <f>629.5</f>
        <v>629.5</v>
      </c>
      <c r="D39" s="588">
        <f>101.5</f>
        <v>101.5</v>
      </c>
      <c r="E39" s="588">
        <f>197.5</f>
        <v>197.5</v>
      </c>
      <c r="F39" s="588">
        <f>121.5</f>
        <v>121.5</v>
      </c>
      <c r="G39" s="588">
        <f t="shared" si="1"/>
        <v>2408.44</v>
      </c>
    </row>
    <row r="40" spans="1:7" x14ac:dyDescent="0.25">
      <c r="A40" s="39" t="s">
        <v>27</v>
      </c>
      <c r="B40" s="471">
        <f>(((((B30)+(B35))+(B36))+(B37))+(B38))+(B39)</f>
        <v>3158.1000000000004</v>
      </c>
      <c r="C40" s="471">
        <f>(((((C30)+(C35))+(C36))+(C37))+(C38))+(C39)</f>
        <v>4824.74</v>
      </c>
      <c r="D40" s="471">
        <f>(((((D30)+(D35))+(D36))+(D37))+(D38))+(D39)</f>
        <v>2403.2799999999997</v>
      </c>
      <c r="E40" s="471">
        <f>(((((E30)+(E35))+(E36))+(E37))+(E38))+(E39)</f>
        <v>2220.1099999999997</v>
      </c>
      <c r="F40" s="471">
        <f>(((((F30)+(F35))+(F36))+(F37))+(F38))+(F39)</f>
        <v>2542.3900000000003</v>
      </c>
      <c r="G40" s="471">
        <f t="shared" si="1"/>
        <v>15148.619999999999</v>
      </c>
    </row>
    <row r="41" spans="1:7" x14ac:dyDescent="0.25">
      <c r="A41" s="39" t="s">
        <v>28</v>
      </c>
      <c r="B41" s="587"/>
      <c r="C41" s="587"/>
      <c r="D41" s="587"/>
      <c r="E41" s="587"/>
      <c r="F41" s="587"/>
      <c r="G41" s="588">
        <f t="shared" si="1"/>
        <v>0</v>
      </c>
    </row>
    <row r="42" spans="1:7" x14ac:dyDescent="0.25">
      <c r="A42" s="39" t="s">
        <v>613</v>
      </c>
      <c r="B42" s="588">
        <f>30.39</f>
        <v>30.39</v>
      </c>
      <c r="C42" s="587"/>
      <c r="D42" s="588">
        <f>146</f>
        <v>146</v>
      </c>
      <c r="E42" s="587"/>
      <c r="F42" s="587"/>
      <c r="G42" s="588">
        <f t="shared" si="1"/>
        <v>176.39</v>
      </c>
    </row>
    <row r="43" spans="1:7" x14ac:dyDescent="0.25">
      <c r="A43" s="39" t="s">
        <v>1378</v>
      </c>
      <c r="B43" s="588"/>
      <c r="C43" s="587"/>
      <c r="D43" s="588"/>
      <c r="E43" s="587"/>
      <c r="F43" s="587"/>
      <c r="G43" s="588"/>
    </row>
    <row r="44" spans="1:7" x14ac:dyDescent="0.25">
      <c r="A44" s="39" t="s">
        <v>29</v>
      </c>
      <c r="B44" s="471">
        <f>(B41)+(B42)</f>
        <v>30.39</v>
      </c>
      <c r="C44" s="471">
        <f>(C41)+(C42)</f>
        <v>0</v>
      </c>
      <c r="D44" s="471">
        <f>(D41)+(D42)</f>
        <v>146</v>
      </c>
      <c r="E44" s="471">
        <f>(E41)+(E42)</f>
        <v>0</v>
      </c>
      <c r="F44" s="471">
        <f>(F41)+(F42)</f>
        <v>0</v>
      </c>
      <c r="G44" s="471">
        <f t="shared" si="1"/>
        <v>176.39</v>
      </c>
    </row>
    <row r="45" spans="1:7" x14ac:dyDescent="0.25">
      <c r="A45" s="39" t="s">
        <v>30</v>
      </c>
      <c r="B45" s="587"/>
      <c r="C45" s="587"/>
      <c r="D45" s="587"/>
      <c r="E45" s="587"/>
      <c r="F45" s="587"/>
      <c r="G45" s="588">
        <f t="shared" si="1"/>
        <v>0</v>
      </c>
    </row>
    <row r="46" spans="1:7" x14ac:dyDescent="0.25">
      <c r="A46" s="39" t="s">
        <v>31</v>
      </c>
      <c r="B46" s="587"/>
      <c r="C46" s="587"/>
      <c r="D46" s="587"/>
      <c r="E46" s="587"/>
      <c r="F46" s="587"/>
      <c r="G46" s="588"/>
    </row>
    <row r="47" spans="1:7" x14ac:dyDescent="0.25">
      <c r="A47" s="39" t="s">
        <v>1150</v>
      </c>
      <c r="B47" s="588">
        <f>1017.34</f>
        <v>1017.34</v>
      </c>
      <c r="C47" s="588">
        <f>11052.65</f>
        <v>11052.65</v>
      </c>
      <c r="D47" s="588">
        <f>983.34</f>
        <v>983.34</v>
      </c>
      <c r="E47" s="588">
        <f>983.34</f>
        <v>983.34</v>
      </c>
      <c r="F47" s="588">
        <f>983.34</f>
        <v>983.34</v>
      </c>
      <c r="G47" s="588">
        <f t="shared" si="1"/>
        <v>15020.01</v>
      </c>
    </row>
    <row r="48" spans="1:7" x14ac:dyDescent="0.25">
      <c r="A48" s="39" t="s">
        <v>32</v>
      </c>
      <c r="B48" s="588">
        <f>2292.02</f>
        <v>2292.02</v>
      </c>
      <c r="C48" s="588">
        <f>4107.35</f>
        <v>4107.3500000000004</v>
      </c>
      <c r="D48" s="588">
        <f>1880.62</f>
        <v>1880.62</v>
      </c>
      <c r="E48" s="588">
        <f>1840.59</f>
        <v>1840.59</v>
      </c>
      <c r="F48" s="588">
        <f>1927.05</f>
        <v>1927.05</v>
      </c>
      <c r="G48" s="588">
        <f t="shared" si="1"/>
        <v>12047.630000000001</v>
      </c>
    </row>
    <row r="49" spans="1:7" x14ac:dyDescent="0.25">
      <c r="A49" s="39" t="s">
        <v>33</v>
      </c>
      <c r="B49" s="588">
        <f>25433.72</f>
        <v>25433.72</v>
      </c>
      <c r="C49" s="588">
        <f>22873.99</f>
        <v>22873.99</v>
      </c>
      <c r="D49" s="588">
        <f>23665.07</f>
        <v>23665.07</v>
      </c>
      <c r="E49" s="588">
        <f>24583.34</f>
        <v>24583.34</v>
      </c>
      <c r="F49" s="588">
        <f>25015.34</f>
        <v>25015.34</v>
      </c>
      <c r="G49" s="588">
        <f t="shared" si="1"/>
        <v>121571.45999999999</v>
      </c>
    </row>
    <row r="50" spans="1:7" x14ac:dyDescent="0.25">
      <c r="A50" s="39" t="s">
        <v>34</v>
      </c>
      <c r="B50" s="588">
        <f>4226.11</f>
        <v>4226.1099999999997</v>
      </c>
      <c r="C50" s="588">
        <f>1684.95</f>
        <v>1684.95</v>
      </c>
      <c r="D50" s="588">
        <f>2243.26</f>
        <v>2243.2600000000002</v>
      </c>
      <c r="E50" s="588">
        <f>1747.45</f>
        <v>1747.45</v>
      </c>
      <c r="F50" s="588">
        <f>1747.45</f>
        <v>1747.45</v>
      </c>
      <c r="G50" s="588">
        <f t="shared" si="1"/>
        <v>11649.220000000001</v>
      </c>
    </row>
    <row r="51" spans="1:7" x14ac:dyDescent="0.25">
      <c r="A51" s="39" t="s">
        <v>35</v>
      </c>
      <c r="B51" s="588">
        <f>2095.66</f>
        <v>2095.66</v>
      </c>
      <c r="C51" s="588">
        <f>1462.69</f>
        <v>1462.69</v>
      </c>
      <c r="D51" s="588">
        <f>1462.69</f>
        <v>1462.69</v>
      </c>
      <c r="E51" s="588">
        <f>1462.69</f>
        <v>1462.69</v>
      </c>
      <c r="F51" s="588">
        <f>1462.69</f>
        <v>1462.69</v>
      </c>
      <c r="G51" s="588">
        <f t="shared" si="1"/>
        <v>7946.42</v>
      </c>
    </row>
    <row r="52" spans="1:7" x14ac:dyDescent="0.25">
      <c r="A52" s="39" t="s">
        <v>36</v>
      </c>
      <c r="B52" s="588">
        <f>2000</f>
        <v>2000</v>
      </c>
      <c r="C52" s="588">
        <f>2000</f>
        <v>2000</v>
      </c>
      <c r="D52" s="588">
        <f>2000</f>
        <v>2000</v>
      </c>
      <c r="E52" s="588">
        <f>2000</f>
        <v>2000</v>
      </c>
      <c r="F52" s="588">
        <f>2000</f>
        <v>2000</v>
      </c>
      <c r="G52" s="588">
        <f t="shared" si="1"/>
        <v>10000</v>
      </c>
    </row>
    <row r="53" spans="1:7" x14ac:dyDescent="0.25">
      <c r="A53" s="39" t="s">
        <v>37</v>
      </c>
      <c r="B53" s="588">
        <f>372.34</f>
        <v>372.34</v>
      </c>
      <c r="C53" s="588">
        <f>234.84</f>
        <v>234.84</v>
      </c>
      <c r="D53" s="588">
        <f>226.44</f>
        <v>226.44</v>
      </c>
      <c r="E53" s="588">
        <f>226.44</f>
        <v>226.44</v>
      </c>
      <c r="F53" s="588">
        <f>238.24</f>
        <v>238.24</v>
      </c>
      <c r="G53" s="588">
        <f t="shared" si="1"/>
        <v>1298.3</v>
      </c>
    </row>
    <row r="54" spans="1:7" x14ac:dyDescent="0.25">
      <c r="A54" s="39" t="s">
        <v>885</v>
      </c>
      <c r="B54" s="588">
        <f>1500</f>
        <v>1500</v>
      </c>
      <c r="C54" s="588">
        <f>1500</f>
        <v>1500</v>
      </c>
      <c r="D54" s="588">
        <f>1500</f>
        <v>1500</v>
      </c>
      <c r="E54" s="588">
        <f>1500</f>
        <v>1500</v>
      </c>
      <c r="F54" s="588">
        <f>1500</f>
        <v>1500</v>
      </c>
      <c r="G54" s="588">
        <f t="shared" si="1"/>
        <v>7500</v>
      </c>
    </row>
    <row r="55" spans="1:7" x14ac:dyDescent="0.25">
      <c r="A55" s="39" t="s">
        <v>38</v>
      </c>
      <c r="B55" s="471">
        <f>((((((((B45)+(B47))+(B48))+(B49))+(B50))+(B51))+(B52))+(B53))+(B54)</f>
        <v>38937.19</v>
      </c>
      <c r="C55" s="471">
        <f>((((((((C45)+(C47))+(C48))+(C49))+(C50))+(C51))+(C52))+(C53))+(C54)</f>
        <v>44916.47</v>
      </c>
      <c r="D55" s="471">
        <f>((((((((D45)+(D47))+(D48))+(D49))+(D50))+(D51))+(D52))+(D53))+(D54)</f>
        <v>33961.42</v>
      </c>
      <c r="E55" s="471">
        <f>((((((((E45)+(E47))+(E48))+(E49))+(E50))+(E51))+(E52))+(E53))+(E54)</f>
        <v>34343.85</v>
      </c>
      <c r="F55" s="471">
        <f>((((((((F45)+(F47))+(F48))+(F49))+(F50))+(F51))+(F52))+(F53))+(F54)</f>
        <v>34874.109999999993</v>
      </c>
      <c r="G55" s="471">
        <f t="shared" si="1"/>
        <v>187033.03999999998</v>
      </c>
    </row>
    <row r="56" spans="1:7" x14ac:dyDescent="0.25">
      <c r="A56" s="39" t="s">
        <v>39</v>
      </c>
      <c r="B56" s="587"/>
      <c r="C56" s="587"/>
      <c r="D56" s="587"/>
      <c r="E56" s="587"/>
      <c r="F56" s="587"/>
      <c r="G56" s="588">
        <f t="shared" si="1"/>
        <v>0</v>
      </c>
    </row>
    <row r="57" spans="1:7" x14ac:dyDescent="0.25">
      <c r="A57" s="39" t="s">
        <v>40</v>
      </c>
      <c r="B57" s="588">
        <f>232.97</f>
        <v>232.97</v>
      </c>
      <c r="C57" s="588">
        <f>232.97</f>
        <v>232.97</v>
      </c>
      <c r="D57" s="588">
        <f>232.97</f>
        <v>232.97</v>
      </c>
      <c r="E57" s="588">
        <f>1221.97</f>
        <v>1221.97</v>
      </c>
      <c r="F57" s="588">
        <f>531.08</f>
        <v>531.08000000000004</v>
      </c>
      <c r="G57" s="588">
        <f t="shared" si="1"/>
        <v>2451.96</v>
      </c>
    </row>
    <row r="58" spans="1:7" x14ac:dyDescent="0.25">
      <c r="A58" s="39" t="s">
        <v>1019</v>
      </c>
      <c r="B58" s="588">
        <f>7100</f>
        <v>7100</v>
      </c>
      <c r="C58" s="588">
        <f>7100</f>
        <v>7100</v>
      </c>
      <c r="D58" s="588">
        <f>7100</f>
        <v>7100</v>
      </c>
      <c r="E58" s="588">
        <f>12100</f>
        <v>12100</v>
      </c>
      <c r="F58" s="588">
        <f>7100</f>
        <v>7100</v>
      </c>
      <c r="G58" s="588">
        <f t="shared" si="1"/>
        <v>40500</v>
      </c>
    </row>
    <row r="59" spans="1:7" x14ac:dyDescent="0.25">
      <c r="A59" s="39" t="s">
        <v>41</v>
      </c>
      <c r="B59" s="587"/>
      <c r="C59" s="587"/>
      <c r="D59" s="587"/>
      <c r="E59" s="587"/>
      <c r="F59" s="587"/>
      <c r="G59" s="588">
        <f t="shared" si="1"/>
        <v>0</v>
      </c>
    </row>
    <row r="60" spans="1:7" x14ac:dyDescent="0.25">
      <c r="A60" s="39" t="s">
        <v>830</v>
      </c>
      <c r="B60" s="587"/>
      <c r="C60" s="587"/>
      <c r="D60" s="587"/>
      <c r="E60" s="587"/>
      <c r="F60" s="587"/>
      <c r="G60" s="588"/>
    </row>
    <row r="61" spans="1:7" x14ac:dyDescent="0.25">
      <c r="A61" s="39" t="s">
        <v>42</v>
      </c>
      <c r="B61" s="588">
        <f>3965.5</f>
        <v>3965.5</v>
      </c>
      <c r="C61" s="588">
        <f>3969.33</f>
        <v>3969.33</v>
      </c>
      <c r="D61" s="588">
        <f>3968.52</f>
        <v>3968.52</v>
      </c>
      <c r="E61" s="588">
        <f>3966.14</f>
        <v>3966.14</v>
      </c>
      <c r="F61" s="588">
        <f>3966.14</f>
        <v>3966.14</v>
      </c>
      <c r="G61" s="588">
        <f t="shared" si="1"/>
        <v>19835.63</v>
      </c>
    </row>
    <row r="62" spans="1:7" x14ac:dyDescent="0.25">
      <c r="A62" s="39" t="s">
        <v>43</v>
      </c>
      <c r="B62" s="471">
        <f>(B59)+(B61)</f>
        <v>3965.5</v>
      </c>
      <c r="C62" s="471">
        <f>(C59)+(C61)</f>
        <v>3969.33</v>
      </c>
      <c r="D62" s="471">
        <f>(D59)+(D61)</f>
        <v>3968.52</v>
      </c>
      <c r="E62" s="471">
        <f>(E59)+(E61)</f>
        <v>3966.14</v>
      </c>
      <c r="F62" s="471">
        <f>(F59)+(F61)</f>
        <v>3966.14</v>
      </c>
      <c r="G62" s="471">
        <f t="shared" si="1"/>
        <v>19835.63</v>
      </c>
    </row>
    <row r="63" spans="1:7" x14ac:dyDescent="0.25">
      <c r="A63" s="39" t="s">
        <v>44</v>
      </c>
      <c r="B63" s="471">
        <f>(((B56)+(B57))+(B58))+(B62)</f>
        <v>11298.470000000001</v>
      </c>
      <c r="C63" s="471">
        <f>(((C56)+(C57))+(C58))+(C62)</f>
        <v>11302.3</v>
      </c>
      <c r="D63" s="471">
        <f>(((D56)+(D57))+(D58))+(D62)</f>
        <v>11301.49</v>
      </c>
      <c r="E63" s="471">
        <f>(((E56)+(E57))+(E58))+(E62)</f>
        <v>17288.11</v>
      </c>
      <c r="F63" s="471">
        <f>(((F56)+(F57))+(F58))+(F62)</f>
        <v>11597.22</v>
      </c>
      <c r="G63" s="471">
        <f t="shared" si="1"/>
        <v>62787.590000000004</v>
      </c>
    </row>
    <row r="64" spans="1:7" x14ac:dyDescent="0.25">
      <c r="A64" s="39" t="s">
        <v>45</v>
      </c>
      <c r="B64" s="587"/>
      <c r="C64" s="587"/>
      <c r="D64" s="587"/>
      <c r="E64" s="587"/>
      <c r="F64" s="587"/>
      <c r="G64" s="588">
        <f t="shared" si="1"/>
        <v>0</v>
      </c>
    </row>
    <row r="65" spans="1:7" x14ac:dyDescent="0.25">
      <c r="A65" s="39" t="s">
        <v>46</v>
      </c>
      <c r="B65" s="588">
        <f>305.66</f>
        <v>305.66000000000003</v>
      </c>
      <c r="C65" s="588">
        <f>364.87</f>
        <v>364.87</v>
      </c>
      <c r="D65" s="588">
        <f>335.99</f>
        <v>335.99</v>
      </c>
      <c r="E65" s="588">
        <f>335.93</f>
        <v>335.93</v>
      </c>
      <c r="F65" s="588">
        <f>385.93</f>
        <v>385.93</v>
      </c>
      <c r="G65" s="588">
        <f t="shared" si="1"/>
        <v>1728.38</v>
      </c>
    </row>
    <row r="66" spans="1:7" x14ac:dyDescent="0.25">
      <c r="A66" s="39" t="s">
        <v>47</v>
      </c>
      <c r="B66" s="588">
        <f>124</f>
        <v>124</v>
      </c>
      <c r="C66" s="588">
        <f>124</f>
        <v>124</v>
      </c>
      <c r="D66" s="588">
        <f>124</f>
        <v>124</v>
      </c>
      <c r="E66" s="588">
        <f>124</f>
        <v>124</v>
      </c>
      <c r="F66" s="588">
        <f>124</f>
        <v>124</v>
      </c>
      <c r="G66" s="588">
        <f t="shared" si="1"/>
        <v>620</v>
      </c>
    </row>
    <row r="67" spans="1:7" x14ac:dyDescent="0.25">
      <c r="A67" s="39" t="s">
        <v>48</v>
      </c>
      <c r="B67" s="588">
        <f>1662.33</f>
        <v>1662.33</v>
      </c>
      <c r="C67" s="588">
        <f>30.96</f>
        <v>30.96</v>
      </c>
      <c r="D67" s="588">
        <f>13.05</f>
        <v>13.05</v>
      </c>
      <c r="E67" s="588">
        <f>12.98</f>
        <v>12.98</v>
      </c>
      <c r="F67" s="588">
        <f>19.2</f>
        <v>19.2</v>
      </c>
      <c r="G67" s="588">
        <f t="shared" si="1"/>
        <v>1738.52</v>
      </c>
    </row>
    <row r="68" spans="1:7" x14ac:dyDescent="0.25">
      <c r="A68" s="39" t="s">
        <v>49</v>
      </c>
      <c r="B68" s="588">
        <f>100</f>
        <v>100</v>
      </c>
      <c r="C68" s="588">
        <f>100</f>
        <v>100</v>
      </c>
      <c r="D68" s="588">
        <f>100</f>
        <v>100</v>
      </c>
      <c r="E68" s="588">
        <f>100</f>
        <v>100</v>
      </c>
      <c r="F68" s="588">
        <f>150</f>
        <v>150</v>
      </c>
      <c r="G68" s="588">
        <f t="shared" si="1"/>
        <v>550</v>
      </c>
    </row>
    <row r="69" spans="1:7" x14ac:dyDescent="0.25">
      <c r="A69" s="39" t="s">
        <v>50</v>
      </c>
      <c r="B69" s="471">
        <f>((((B64)+(B65))+(B66))+(B67))+(B68)</f>
        <v>2191.9899999999998</v>
      </c>
      <c r="C69" s="471">
        <f>((((C64)+(C65))+(C66))+(C67))+(C68)</f>
        <v>619.83000000000004</v>
      </c>
      <c r="D69" s="471">
        <f>((((D64)+(D65))+(D66))+(D67))+(D68)</f>
        <v>573.04</v>
      </c>
      <c r="E69" s="471">
        <f>((((E64)+(E65))+(E66))+(E67))+(E68)</f>
        <v>572.91000000000008</v>
      </c>
      <c r="F69" s="471">
        <f>((((F64)+(F65))+(F66))+(F67))+(F68)</f>
        <v>679.13</v>
      </c>
      <c r="G69" s="471">
        <f t="shared" si="1"/>
        <v>4636.8999999999996</v>
      </c>
    </row>
    <row r="70" spans="1:7" x14ac:dyDescent="0.25">
      <c r="A70" s="39" t="s">
        <v>51</v>
      </c>
      <c r="B70" s="471">
        <f>((((B40)+(B44))+(B55))+(B63))+(B69)</f>
        <v>55616.14</v>
      </c>
      <c r="C70" s="471">
        <f>((((C40)+(C44))+(C55))+(C63))+(C69)</f>
        <v>61663.34</v>
      </c>
      <c r="D70" s="471">
        <f>((((D40)+(D44))+(D55))+(D63))+(D69)</f>
        <v>48385.229999999996</v>
      </c>
      <c r="E70" s="471">
        <f>((((E40)+(E44))+(E55))+(E63))+(E69)</f>
        <v>54424.98</v>
      </c>
      <c r="F70" s="471">
        <f>((((F40)+(F44))+(F55))+(F63))+(F69)</f>
        <v>49692.849999999991</v>
      </c>
      <c r="G70" s="471">
        <f t="shared" si="1"/>
        <v>269782.53999999998</v>
      </c>
    </row>
    <row r="71" spans="1:7" x14ac:dyDescent="0.25">
      <c r="A71" s="39" t="s">
        <v>52</v>
      </c>
      <c r="B71" s="471">
        <f>(B28)-(B70)</f>
        <v>-14861.400000000001</v>
      </c>
      <c r="C71" s="471">
        <f>(C28)-(C70)</f>
        <v>-2980.7099999999919</v>
      </c>
      <c r="D71" s="471">
        <f>(D28)-(D70)</f>
        <v>13489.550000000003</v>
      </c>
      <c r="E71" s="471">
        <f>(E28)-(E70)</f>
        <v>-7472.9400000000096</v>
      </c>
      <c r="F71" s="471">
        <f>(F28)-(F70)</f>
        <v>-5944.669999999991</v>
      </c>
      <c r="G71" s="471">
        <f t="shared" si="1"/>
        <v>-17770.169999999991</v>
      </c>
    </row>
    <row r="72" spans="1:7" x14ac:dyDescent="0.25">
      <c r="A72" s="39" t="s">
        <v>53</v>
      </c>
      <c r="B72" s="471">
        <f>(B71)+(0)</f>
        <v>-14861.400000000001</v>
      </c>
      <c r="C72" s="471">
        <f>(C71)+(0)</f>
        <v>-2980.7099999999919</v>
      </c>
      <c r="D72" s="471">
        <f>(D71)+(0)</f>
        <v>13489.550000000003</v>
      </c>
      <c r="E72" s="471">
        <f>(E71)+(0)</f>
        <v>-7472.9400000000096</v>
      </c>
      <c r="F72" s="471">
        <f>(F71)+(0)</f>
        <v>-5944.669999999991</v>
      </c>
      <c r="G72" s="471">
        <f t="shared" si="1"/>
        <v>-17770.169999999991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4CDB-9C56-4BE3-8624-B62CA2CBB65A}">
  <sheetPr codeName="Sheet6"/>
  <dimension ref="A1:F61"/>
  <sheetViews>
    <sheetView zoomScale="110" zoomScaleNormal="110" workbookViewId="0">
      <pane ySplit="5" topLeftCell="A6" activePane="bottomLeft" state="frozen"/>
      <selection pane="bottomLeft" activeCell="A65" sqref="A65"/>
    </sheetView>
  </sheetViews>
  <sheetFormatPr defaultColWidth="9.140625" defaultRowHeight="15" x14ac:dyDescent="0.25"/>
  <cols>
    <col min="1" max="1" width="51.5703125" customWidth="1"/>
    <col min="2" max="3" width="13.85546875" bestFit="1" customWidth="1"/>
    <col min="4" max="5" width="12.28515625" customWidth="1"/>
    <col min="6" max="6" width="13.85546875" bestFit="1" customWidth="1"/>
  </cols>
  <sheetData>
    <row r="1" spans="1:6" ht="21" x14ac:dyDescent="0.35">
      <c r="A1" s="736" t="s">
        <v>1034</v>
      </c>
      <c r="B1" s="737"/>
      <c r="C1" s="737"/>
      <c r="D1" s="737"/>
      <c r="E1" s="737"/>
      <c r="F1" s="737"/>
    </row>
    <row r="2" spans="1:6" ht="21" x14ac:dyDescent="0.35">
      <c r="A2" s="736" t="s">
        <v>98</v>
      </c>
      <c r="B2" s="737"/>
      <c r="C2" s="737"/>
      <c r="D2" s="737"/>
      <c r="E2" s="737"/>
      <c r="F2" s="737"/>
    </row>
    <row r="3" spans="1:6" x14ac:dyDescent="0.25">
      <c r="A3" s="734" t="s">
        <v>1582</v>
      </c>
      <c r="B3" s="735"/>
      <c r="C3" s="735"/>
      <c r="D3" s="735"/>
      <c r="E3" s="735"/>
      <c r="F3" s="735"/>
    </row>
    <row r="5" spans="1:6" x14ac:dyDescent="0.25">
      <c r="A5" s="586"/>
      <c r="B5" s="469" t="s">
        <v>1389</v>
      </c>
      <c r="C5" s="469" t="s">
        <v>1388</v>
      </c>
      <c r="D5" s="469" t="s">
        <v>1387</v>
      </c>
      <c r="E5" s="469" t="s">
        <v>1386</v>
      </c>
      <c r="F5" s="469" t="s">
        <v>1385</v>
      </c>
    </row>
    <row r="6" spans="1:6" x14ac:dyDescent="0.25">
      <c r="A6" s="39" t="s">
        <v>97</v>
      </c>
      <c r="B6" s="587"/>
      <c r="C6" s="587"/>
      <c r="D6" s="587"/>
      <c r="E6" s="587"/>
      <c r="F6" s="587"/>
    </row>
    <row r="7" spans="1:6" x14ac:dyDescent="0.25">
      <c r="A7" s="39" t="s">
        <v>96</v>
      </c>
      <c r="B7" s="587"/>
      <c r="C7" s="587"/>
      <c r="D7" s="587"/>
      <c r="E7" s="587"/>
      <c r="F7" s="587"/>
    </row>
    <row r="8" spans="1:6" x14ac:dyDescent="0.25">
      <c r="A8" s="39" t="s">
        <v>95</v>
      </c>
      <c r="B8" s="587"/>
      <c r="C8" s="587"/>
      <c r="D8" s="587"/>
      <c r="E8" s="587"/>
      <c r="F8" s="587"/>
    </row>
    <row r="9" spans="1:6" x14ac:dyDescent="0.25">
      <c r="A9" s="39" t="s">
        <v>94</v>
      </c>
      <c r="B9" s="588">
        <f>371495.25</f>
        <v>371495.25</v>
      </c>
      <c r="C9" s="588">
        <f>329045.56</f>
        <v>329045.56</v>
      </c>
      <c r="D9" s="588">
        <f>347114.7</f>
        <v>347114.7</v>
      </c>
      <c r="E9" s="588">
        <f>468166.62</f>
        <v>468166.62</v>
      </c>
      <c r="F9" s="588">
        <f>823467.4</f>
        <v>823467.4</v>
      </c>
    </row>
    <row r="10" spans="1:6" x14ac:dyDescent="0.25">
      <c r="A10" s="39" t="s">
        <v>93</v>
      </c>
      <c r="B10" s="588">
        <f>2311.42</f>
        <v>2311.42</v>
      </c>
      <c r="C10" s="588">
        <f>B10</f>
        <v>2311.42</v>
      </c>
      <c r="D10" s="588">
        <f>C10</f>
        <v>2311.42</v>
      </c>
      <c r="E10" s="588">
        <f>2576.33</f>
        <v>2576.33</v>
      </c>
      <c r="F10" s="588">
        <f>E10</f>
        <v>2576.33</v>
      </c>
    </row>
    <row r="11" spans="1:6" x14ac:dyDescent="0.25">
      <c r="A11" s="39" t="s">
        <v>1085</v>
      </c>
      <c r="B11" s="588">
        <f>309272.01</f>
        <v>309272.01</v>
      </c>
      <c r="C11" s="588">
        <f>309900.49</f>
        <v>309900.49</v>
      </c>
      <c r="D11" s="588">
        <f>310530.25</f>
        <v>310530.25</v>
      </c>
      <c r="E11" s="588">
        <f>311182.34</f>
        <v>311182.34000000003</v>
      </c>
      <c r="F11" s="588">
        <f>0</f>
        <v>0</v>
      </c>
    </row>
    <row r="12" spans="1:6" x14ac:dyDescent="0.25">
      <c r="A12" s="39" t="s">
        <v>92</v>
      </c>
      <c r="B12" s="471">
        <f>((B9)+(B10))+(B11)</f>
        <v>683078.67999999993</v>
      </c>
      <c r="C12" s="471">
        <f>((C9)+(C10))+(C11)</f>
        <v>641257.47</v>
      </c>
      <c r="D12" s="471">
        <f>((D9)+(D10))+(D11)</f>
        <v>659956.37</v>
      </c>
      <c r="E12" s="471">
        <f>((E9)+(E10))+(E11)</f>
        <v>781925.29</v>
      </c>
      <c r="F12" s="471">
        <f>((F9)+(F10))+(F11)</f>
        <v>826043.73</v>
      </c>
    </row>
    <row r="13" spans="1:6" x14ac:dyDescent="0.25">
      <c r="A13" s="39" t="s">
        <v>91</v>
      </c>
      <c r="B13" s="587"/>
      <c r="C13" s="587"/>
      <c r="D13" s="587"/>
      <c r="E13" s="587"/>
      <c r="F13" s="587"/>
    </row>
    <row r="14" spans="1:6" x14ac:dyDescent="0.25">
      <c r="A14" s="39" t="s">
        <v>90</v>
      </c>
      <c r="B14" s="588">
        <f>210350</f>
        <v>210350</v>
      </c>
      <c r="C14" s="588">
        <f>204000</f>
        <v>204000</v>
      </c>
      <c r="D14" s="588">
        <f>190499.93</f>
        <v>190499.93</v>
      </c>
      <c r="E14" s="588">
        <f>96499.93</f>
        <v>96499.93</v>
      </c>
      <c r="F14" s="588">
        <f>58499.97</f>
        <v>58499.97</v>
      </c>
    </row>
    <row r="15" spans="1:6" x14ac:dyDescent="0.25">
      <c r="A15" s="39" t="s">
        <v>89</v>
      </c>
      <c r="B15" s="471">
        <f>B14</f>
        <v>210350</v>
      </c>
      <c r="C15" s="471">
        <f>C14</f>
        <v>204000</v>
      </c>
      <c r="D15" s="471">
        <f>D14</f>
        <v>190499.93</v>
      </c>
      <c r="E15" s="471">
        <f>E14</f>
        <v>96499.93</v>
      </c>
      <c r="F15" s="471">
        <f>F14</f>
        <v>58499.97</v>
      </c>
    </row>
    <row r="16" spans="1:6" x14ac:dyDescent="0.25">
      <c r="A16" s="39" t="s">
        <v>88</v>
      </c>
      <c r="B16" s="587"/>
      <c r="C16" s="587"/>
      <c r="D16" s="587"/>
      <c r="E16" s="587"/>
      <c r="F16" s="587"/>
    </row>
    <row r="17" spans="1:6" x14ac:dyDescent="0.25">
      <c r="A17" s="39" t="s">
        <v>1536</v>
      </c>
      <c r="B17" s="588">
        <f>0</f>
        <v>0</v>
      </c>
      <c r="C17" s="588">
        <f>0</f>
        <v>0</v>
      </c>
      <c r="D17" s="588">
        <f>30000</f>
        <v>30000</v>
      </c>
      <c r="E17" s="588">
        <f>0</f>
        <v>0</v>
      </c>
      <c r="F17" s="588">
        <f>0</f>
        <v>0</v>
      </c>
    </row>
    <row r="18" spans="1:6" x14ac:dyDescent="0.25">
      <c r="A18" s="39" t="s">
        <v>87</v>
      </c>
      <c r="B18" s="588">
        <f>11978.75</f>
        <v>11978.75</v>
      </c>
      <c r="C18" s="588">
        <f>1080</f>
        <v>1080</v>
      </c>
      <c r="D18" s="588">
        <f>2235</f>
        <v>2235</v>
      </c>
      <c r="E18" s="588">
        <f>2630</f>
        <v>2630</v>
      </c>
      <c r="F18" s="588">
        <f>1811.25</f>
        <v>1811.25</v>
      </c>
    </row>
    <row r="19" spans="1:6" x14ac:dyDescent="0.25">
      <c r="A19" s="39" t="s">
        <v>86</v>
      </c>
      <c r="B19" s="588">
        <f>9263.95</f>
        <v>9263.9500000000007</v>
      </c>
      <c r="C19" s="588">
        <f>9097.25</f>
        <v>9097.25</v>
      </c>
      <c r="D19" s="588">
        <f>8930.55</f>
        <v>8930.5499999999993</v>
      </c>
      <c r="E19" s="588">
        <f>8763.85</f>
        <v>8763.85</v>
      </c>
      <c r="F19" s="588">
        <f>9041.72</f>
        <v>9041.7199999999993</v>
      </c>
    </row>
    <row r="20" spans="1:6" x14ac:dyDescent="0.25">
      <c r="A20" s="39" t="s">
        <v>85</v>
      </c>
      <c r="B20" s="588">
        <f>2095.66</f>
        <v>2095.66</v>
      </c>
      <c r="C20" s="588">
        <f>1616.27</f>
        <v>1616.27</v>
      </c>
      <c r="D20" s="588">
        <f>1693.06</f>
        <v>1693.06</v>
      </c>
      <c r="E20" s="588">
        <f>1561.71</f>
        <v>1561.71</v>
      </c>
      <c r="F20" s="588">
        <f>1462.69</f>
        <v>1462.69</v>
      </c>
    </row>
    <row r="21" spans="1:6" x14ac:dyDescent="0.25">
      <c r="A21" s="39" t="s">
        <v>84</v>
      </c>
      <c r="B21" s="471">
        <f>(((B17)+(B18))+(B19))+(B20)</f>
        <v>23338.36</v>
      </c>
      <c r="C21" s="471">
        <f>(((C17)+(C18))+(C19))+(C20)</f>
        <v>11793.52</v>
      </c>
      <c r="D21" s="471">
        <f>(((D17)+(D18))+(D19))+(D20)</f>
        <v>42858.61</v>
      </c>
      <c r="E21" s="471">
        <f>(((E17)+(E18))+(E19))+(E20)</f>
        <v>12955.560000000001</v>
      </c>
      <c r="F21" s="471">
        <f>(((F17)+(F18))+(F19))+(F20)</f>
        <v>12315.66</v>
      </c>
    </row>
    <row r="22" spans="1:6" x14ac:dyDescent="0.25">
      <c r="A22" s="39" t="s">
        <v>83</v>
      </c>
      <c r="B22" s="471">
        <f>((B12)+(B15))+(B21)</f>
        <v>916767.03999999992</v>
      </c>
      <c r="C22" s="471">
        <f>((C12)+(C15))+(C21)</f>
        <v>857050.99</v>
      </c>
      <c r="D22" s="471">
        <f>((D12)+(D15))+(D21)</f>
        <v>893314.91</v>
      </c>
      <c r="E22" s="471">
        <f>((E12)+(E15))+(E21)</f>
        <v>891380.78</v>
      </c>
      <c r="F22" s="471">
        <f>((F12)+(F15))+(F21)</f>
        <v>896859.36</v>
      </c>
    </row>
    <row r="23" spans="1:6" x14ac:dyDescent="0.25">
      <c r="A23" s="39" t="s">
        <v>82</v>
      </c>
      <c r="B23" s="587"/>
      <c r="C23" s="587"/>
      <c r="D23" s="587"/>
      <c r="E23" s="587"/>
      <c r="F23" s="587"/>
    </row>
    <row r="24" spans="1:6" x14ac:dyDescent="0.25">
      <c r="A24" s="39" t="s">
        <v>81</v>
      </c>
      <c r="B24" s="588">
        <f>4333.95</f>
        <v>4333.95</v>
      </c>
      <c r="C24" s="588">
        <f t="shared" ref="C24:F26" si="0">B24</f>
        <v>4333.95</v>
      </c>
      <c r="D24" s="588">
        <f t="shared" si="0"/>
        <v>4333.95</v>
      </c>
      <c r="E24" s="588">
        <f t="shared" si="0"/>
        <v>4333.95</v>
      </c>
      <c r="F24" s="588">
        <f t="shared" si="0"/>
        <v>4333.95</v>
      </c>
    </row>
    <row r="25" spans="1:6" x14ac:dyDescent="0.25">
      <c r="A25" s="39" t="s">
        <v>1120</v>
      </c>
      <c r="B25" s="588">
        <f>2948.04</f>
        <v>2948.04</v>
      </c>
      <c r="C25" s="588">
        <f t="shared" si="0"/>
        <v>2948.04</v>
      </c>
      <c r="D25" s="588">
        <f t="shared" si="0"/>
        <v>2948.04</v>
      </c>
      <c r="E25" s="588">
        <f t="shared" si="0"/>
        <v>2948.04</v>
      </c>
      <c r="F25" s="588">
        <f t="shared" si="0"/>
        <v>2948.04</v>
      </c>
    </row>
    <row r="26" spans="1:6" x14ac:dyDescent="0.25">
      <c r="A26" s="39" t="s">
        <v>1119</v>
      </c>
      <c r="B26" s="588">
        <f>-4333.95</f>
        <v>-4333.95</v>
      </c>
      <c r="C26" s="588">
        <f t="shared" si="0"/>
        <v>-4333.95</v>
      </c>
      <c r="D26" s="588">
        <f t="shared" si="0"/>
        <v>-4333.95</v>
      </c>
      <c r="E26" s="588">
        <f t="shared" si="0"/>
        <v>-4333.95</v>
      </c>
      <c r="F26" s="588">
        <f t="shared" si="0"/>
        <v>-4333.95</v>
      </c>
    </row>
    <row r="27" spans="1:6" x14ac:dyDescent="0.25">
      <c r="A27" s="39" t="s">
        <v>80</v>
      </c>
      <c r="B27" s="471">
        <f>((B24)+(B25))+(B26)</f>
        <v>2948.04</v>
      </c>
      <c r="C27" s="471">
        <f>((C24)+(C25))+(C26)</f>
        <v>2948.04</v>
      </c>
      <c r="D27" s="471">
        <f>((D24)+(D25))+(D26)</f>
        <v>2948.04</v>
      </c>
      <c r="E27" s="471">
        <f>((E24)+(E25))+(E26)</f>
        <v>2948.04</v>
      </c>
      <c r="F27" s="471">
        <f>((F24)+(F25))+(F26)</f>
        <v>2948.04</v>
      </c>
    </row>
    <row r="28" spans="1:6" x14ac:dyDescent="0.25">
      <c r="A28" s="39" t="s">
        <v>79</v>
      </c>
      <c r="B28" s="471">
        <f>(B22)+(B27)</f>
        <v>919715.08</v>
      </c>
      <c r="C28" s="471">
        <f>(C22)+(C27)</f>
        <v>859999.03</v>
      </c>
      <c r="D28" s="471">
        <f>(D22)+(D27)</f>
        <v>896262.95000000007</v>
      </c>
      <c r="E28" s="471">
        <f>(E22)+(E27)</f>
        <v>894328.82000000007</v>
      </c>
      <c r="F28" s="471">
        <f>(F22)+(F27)</f>
        <v>899807.4</v>
      </c>
    </row>
    <row r="29" spans="1:6" x14ac:dyDescent="0.25">
      <c r="A29" s="39" t="s">
        <v>78</v>
      </c>
      <c r="B29" s="587"/>
      <c r="C29" s="587"/>
      <c r="D29" s="587"/>
      <c r="E29" s="587"/>
      <c r="F29" s="587"/>
    </row>
    <row r="30" spans="1:6" x14ac:dyDescent="0.25">
      <c r="A30" s="39" t="s">
        <v>77</v>
      </c>
      <c r="B30" s="587"/>
      <c r="C30" s="587"/>
      <c r="D30" s="587"/>
      <c r="E30" s="587"/>
      <c r="F30" s="587"/>
    </row>
    <row r="31" spans="1:6" x14ac:dyDescent="0.25">
      <c r="A31" s="39" t="s">
        <v>76</v>
      </c>
      <c r="B31" s="587"/>
      <c r="C31" s="587"/>
      <c r="D31" s="587"/>
      <c r="E31" s="587"/>
      <c r="F31" s="587"/>
    </row>
    <row r="32" spans="1:6" x14ac:dyDescent="0.25">
      <c r="A32" s="39" t="s">
        <v>75</v>
      </c>
      <c r="B32" s="587"/>
      <c r="C32" s="587"/>
      <c r="D32" s="587"/>
      <c r="E32" s="587"/>
      <c r="F32" s="587"/>
    </row>
    <row r="33" spans="1:6" x14ac:dyDescent="0.25">
      <c r="A33" s="39" t="s">
        <v>74</v>
      </c>
      <c r="B33" s="588">
        <f>1038</f>
        <v>1038</v>
      </c>
      <c r="C33" s="588">
        <f>3.83</f>
        <v>3.83</v>
      </c>
      <c r="D33" s="588">
        <f>86.22</f>
        <v>86.22</v>
      </c>
      <c r="E33" s="588">
        <f>0.64</f>
        <v>0.64</v>
      </c>
      <c r="F33" s="588">
        <f>0</f>
        <v>0</v>
      </c>
    </row>
    <row r="34" spans="1:6" x14ac:dyDescent="0.25">
      <c r="A34" s="39" t="s">
        <v>73</v>
      </c>
      <c r="B34" s="471">
        <f>B33</f>
        <v>1038</v>
      </c>
      <c r="C34" s="471">
        <f>C33</f>
        <v>3.83</v>
      </c>
      <c r="D34" s="471">
        <f>D33</f>
        <v>86.22</v>
      </c>
      <c r="E34" s="471">
        <f>E33</f>
        <v>0.64</v>
      </c>
      <c r="F34" s="471">
        <f>F33</f>
        <v>0</v>
      </c>
    </row>
    <row r="35" spans="1:6" x14ac:dyDescent="0.25">
      <c r="A35" s="39" t="s">
        <v>72</v>
      </c>
      <c r="B35" s="587"/>
      <c r="C35" s="587"/>
      <c r="D35" s="587"/>
      <c r="E35" s="587"/>
      <c r="F35" s="587"/>
    </row>
    <row r="36" spans="1:6" x14ac:dyDescent="0.25">
      <c r="A36" s="39" t="s">
        <v>935</v>
      </c>
      <c r="B36" s="588">
        <f>2959.7</f>
        <v>2959.7</v>
      </c>
      <c r="C36" s="588">
        <f>4106.19</f>
        <v>4106.1899999999996</v>
      </c>
      <c r="D36" s="588">
        <f>1959.74</f>
        <v>1959.74</v>
      </c>
      <c r="E36" s="588">
        <f>1434.77</f>
        <v>1434.77</v>
      </c>
      <c r="F36" s="588">
        <f>0</f>
        <v>0</v>
      </c>
    </row>
    <row r="37" spans="1:6" x14ac:dyDescent="0.25">
      <c r="A37" s="39" t="s">
        <v>1086</v>
      </c>
      <c r="B37" s="588">
        <f>1773.78</f>
        <v>1773.78</v>
      </c>
      <c r="C37" s="588">
        <f>1327.22</f>
        <v>1327.22</v>
      </c>
      <c r="D37" s="588">
        <f>6432.17</f>
        <v>6432.17</v>
      </c>
      <c r="E37" s="588">
        <f>4624.3</f>
        <v>4624.3</v>
      </c>
      <c r="F37" s="588">
        <f>0</f>
        <v>0</v>
      </c>
    </row>
    <row r="38" spans="1:6" x14ac:dyDescent="0.25">
      <c r="A38" s="39" t="s">
        <v>1579</v>
      </c>
      <c r="B38" s="587"/>
      <c r="C38" s="588">
        <f>B38</f>
        <v>0</v>
      </c>
      <c r="D38" s="588">
        <f>C38</f>
        <v>0</v>
      </c>
      <c r="E38" s="588">
        <f>D38</f>
        <v>0</v>
      </c>
      <c r="F38" s="588">
        <f>10.11</f>
        <v>10.11</v>
      </c>
    </row>
    <row r="39" spans="1:6" x14ac:dyDescent="0.25">
      <c r="A39" s="39" t="s">
        <v>1580</v>
      </c>
      <c r="B39" s="587"/>
      <c r="C39" s="588">
        <f>B39</f>
        <v>0</v>
      </c>
      <c r="D39" s="588">
        <f>C39</f>
        <v>0</v>
      </c>
      <c r="E39" s="588">
        <f>164.01</f>
        <v>164.01</v>
      </c>
      <c r="F39" s="588">
        <f>995.15</f>
        <v>995.15</v>
      </c>
    </row>
    <row r="40" spans="1:6" x14ac:dyDescent="0.25">
      <c r="A40" s="39" t="s">
        <v>1581</v>
      </c>
      <c r="B40" s="587"/>
      <c r="C40" s="588">
        <f>B40</f>
        <v>0</v>
      </c>
      <c r="D40" s="588">
        <f>C40</f>
        <v>0</v>
      </c>
      <c r="E40" s="588">
        <f>585.72</f>
        <v>585.72</v>
      </c>
      <c r="F40" s="588">
        <f>1974.37</f>
        <v>1974.37</v>
      </c>
    </row>
    <row r="41" spans="1:6" x14ac:dyDescent="0.25">
      <c r="A41" s="39" t="s">
        <v>71</v>
      </c>
      <c r="B41" s="471">
        <f>((((B36)+(B37))+(B38))+(B39))+(B40)</f>
        <v>4733.4799999999996</v>
      </c>
      <c r="C41" s="471">
        <f>((((C36)+(C37))+(C38))+(C39))+(C40)</f>
        <v>5433.41</v>
      </c>
      <c r="D41" s="471">
        <f>((((D36)+(D37))+(D38))+(D39))+(D40)</f>
        <v>8391.91</v>
      </c>
      <c r="E41" s="471">
        <f>((((E36)+(E37))+(E38))+(E39))+(E40)</f>
        <v>6808.8</v>
      </c>
      <c r="F41" s="471">
        <f>((((F36)+(F37))+(F38))+(F39))+(F40)</f>
        <v>2979.63</v>
      </c>
    </row>
    <row r="42" spans="1:6" x14ac:dyDescent="0.25">
      <c r="A42" s="39" t="s">
        <v>70</v>
      </c>
      <c r="B42" s="587"/>
      <c r="C42" s="587"/>
      <c r="D42" s="587"/>
      <c r="E42" s="587"/>
      <c r="F42" s="587"/>
    </row>
    <row r="43" spans="1:6" x14ac:dyDescent="0.25">
      <c r="A43" s="39" t="s">
        <v>69</v>
      </c>
      <c r="B43" s="588">
        <f>27937.39</f>
        <v>27937.39</v>
      </c>
      <c r="C43" s="588">
        <f>28045.42</f>
        <v>28045.42</v>
      </c>
      <c r="D43" s="588">
        <f>29370.41</f>
        <v>29370.41</v>
      </c>
      <c r="E43" s="588">
        <f>31117.86</f>
        <v>31117.86</v>
      </c>
      <c r="F43" s="588">
        <f>32865.31</f>
        <v>32865.31</v>
      </c>
    </row>
    <row r="44" spans="1:6" x14ac:dyDescent="0.25">
      <c r="A44" s="39" t="s">
        <v>68</v>
      </c>
      <c r="B44" s="588">
        <f>12939.74</f>
        <v>12939.74</v>
      </c>
      <c r="C44" s="588">
        <f>13749.76</f>
        <v>13749.76</v>
      </c>
      <c r="D44" s="588">
        <f>14058.27</f>
        <v>14058.27</v>
      </c>
      <c r="E44" s="588">
        <f>14058.27</f>
        <v>14058.27</v>
      </c>
      <c r="F44" s="588">
        <f>15132.19</f>
        <v>15132.19</v>
      </c>
    </row>
    <row r="45" spans="1:6" x14ac:dyDescent="0.25">
      <c r="A45" s="39" t="s">
        <v>67</v>
      </c>
      <c r="B45" s="588">
        <f>31240</f>
        <v>31240</v>
      </c>
      <c r="C45" s="588">
        <f>4000</f>
        <v>4000</v>
      </c>
      <c r="D45" s="588">
        <f>6000</f>
        <v>6000</v>
      </c>
      <c r="E45" s="588">
        <f>8000</f>
        <v>8000</v>
      </c>
      <c r="F45" s="588">
        <f>10000</f>
        <v>10000</v>
      </c>
    </row>
    <row r="46" spans="1:6" x14ac:dyDescent="0.25">
      <c r="A46" s="39" t="s">
        <v>66</v>
      </c>
      <c r="B46" s="588">
        <f>245833.39</f>
        <v>245833.39</v>
      </c>
      <c r="C46" s="588">
        <f>228541.74</f>
        <v>228541.74</v>
      </c>
      <c r="D46" s="588">
        <f>255416.72</f>
        <v>255416.72</v>
      </c>
      <c r="E46" s="588">
        <f>253166.77</f>
        <v>253166.77</v>
      </c>
      <c r="F46" s="588">
        <f>236333.46</f>
        <v>236333.46</v>
      </c>
    </row>
    <row r="47" spans="1:6" x14ac:dyDescent="0.25">
      <c r="A47" s="39" t="s">
        <v>65</v>
      </c>
      <c r="B47" s="588">
        <f>50500</f>
        <v>50500</v>
      </c>
      <c r="C47" s="588">
        <f>43000</f>
        <v>43000</v>
      </c>
      <c r="D47" s="588">
        <f>33500</f>
        <v>33500</v>
      </c>
      <c r="E47" s="588">
        <f>37000</f>
        <v>37000</v>
      </c>
      <c r="F47" s="588">
        <f>47000</f>
        <v>47000</v>
      </c>
    </row>
    <row r="48" spans="1:6" x14ac:dyDescent="0.25">
      <c r="A48" s="39" t="s">
        <v>723</v>
      </c>
      <c r="B48" s="588">
        <f>20000</f>
        <v>20000</v>
      </c>
      <c r="C48" s="588">
        <f t="shared" ref="C48:E49" si="1">B48</f>
        <v>20000</v>
      </c>
      <c r="D48" s="588">
        <f t="shared" si="1"/>
        <v>20000</v>
      </c>
      <c r="E48" s="588">
        <f t="shared" si="1"/>
        <v>20000</v>
      </c>
      <c r="F48" s="588">
        <f>32500</f>
        <v>32500</v>
      </c>
    </row>
    <row r="49" spans="1:6" x14ac:dyDescent="0.25">
      <c r="A49" s="39" t="s">
        <v>64</v>
      </c>
      <c r="B49" s="588">
        <f>0</f>
        <v>0</v>
      </c>
      <c r="C49" s="588">
        <f t="shared" si="1"/>
        <v>0</v>
      </c>
      <c r="D49" s="588">
        <f t="shared" si="1"/>
        <v>0</v>
      </c>
      <c r="E49" s="588">
        <f t="shared" si="1"/>
        <v>0</v>
      </c>
      <c r="F49" s="588">
        <f>E49</f>
        <v>0</v>
      </c>
    </row>
    <row r="50" spans="1:6" x14ac:dyDescent="0.25">
      <c r="A50" s="39" t="s">
        <v>725</v>
      </c>
      <c r="B50" s="588"/>
      <c r="C50" s="588"/>
      <c r="D50" s="588"/>
      <c r="E50" s="588"/>
      <c r="F50" s="588"/>
    </row>
    <row r="51" spans="1:6" x14ac:dyDescent="0.25">
      <c r="A51" s="39" t="s">
        <v>724</v>
      </c>
      <c r="B51" s="588">
        <f>7392.5</f>
        <v>7392.5</v>
      </c>
      <c r="C51" s="588">
        <f>2105</f>
        <v>2105</v>
      </c>
      <c r="D51" s="588">
        <f>830</f>
        <v>830</v>
      </c>
      <c r="E51" s="588">
        <f>3040</f>
        <v>3040</v>
      </c>
      <c r="F51" s="588">
        <f>7805</f>
        <v>7805</v>
      </c>
    </row>
    <row r="52" spans="1:6" x14ac:dyDescent="0.25">
      <c r="A52" s="39" t="s">
        <v>63</v>
      </c>
      <c r="B52" s="471">
        <f>(B49)+(B51)</f>
        <v>7392.5</v>
      </c>
      <c r="C52" s="471">
        <f>(C49)+(C51)</f>
        <v>2105</v>
      </c>
      <c r="D52" s="471">
        <f>(D49)+(D51)</f>
        <v>830</v>
      </c>
      <c r="E52" s="471">
        <f>(E49)+(E51)</f>
        <v>3040</v>
      </c>
      <c r="F52" s="471">
        <f>(F49)+(F51)</f>
        <v>7805</v>
      </c>
    </row>
    <row r="53" spans="1:6" x14ac:dyDescent="0.25">
      <c r="A53" s="39" t="s">
        <v>511</v>
      </c>
      <c r="B53" s="471"/>
      <c r="C53" s="471"/>
      <c r="D53" s="471"/>
      <c r="E53" s="471"/>
      <c r="F53" s="471"/>
    </row>
    <row r="54" spans="1:6" x14ac:dyDescent="0.25">
      <c r="A54" s="39" t="s">
        <v>62</v>
      </c>
      <c r="B54" s="471">
        <f>((((((B43)+(B44))+(B45))+(B46))+(B47))+(B48))+(B52)</f>
        <v>395843.02</v>
      </c>
      <c r="C54" s="471">
        <f>((((((C43)+(C44))+(C45))+(C46))+(C47))+(C48))+(C52)</f>
        <v>339441.91999999998</v>
      </c>
      <c r="D54" s="471">
        <f>((((((D43)+(D44))+(D45))+(D46))+(D47))+(D48))+(D52)</f>
        <v>359175.4</v>
      </c>
      <c r="E54" s="471">
        <f>((((((E43)+(E44))+(E45))+(E46))+(E47))+(E48))+(E52)</f>
        <v>366382.9</v>
      </c>
      <c r="F54" s="471">
        <f>((((((F43)+(F44))+(F45))+(F46))+(F47))+(F48))+(F52)</f>
        <v>381635.95999999996</v>
      </c>
    </row>
    <row r="55" spans="1:6" x14ac:dyDescent="0.25">
      <c r="A55" s="39" t="s">
        <v>61</v>
      </c>
      <c r="B55" s="471">
        <f>((B34)+(B41))+(B54)</f>
        <v>401614.5</v>
      </c>
      <c r="C55" s="471">
        <f>((C34)+(C41))+(C54)</f>
        <v>344879.16</v>
      </c>
      <c r="D55" s="471">
        <f>((D34)+(D41))+(D54)</f>
        <v>367653.53</v>
      </c>
      <c r="E55" s="471">
        <f>((E34)+(E41))+(E54)</f>
        <v>373192.34</v>
      </c>
      <c r="F55" s="471">
        <f>((F34)+(F41))+(F54)</f>
        <v>384615.58999999997</v>
      </c>
    </row>
    <row r="56" spans="1:6" x14ac:dyDescent="0.25">
      <c r="A56" s="39" t="s">
        <v>60</v>
      </c>
      <c r="B56" s="471">
        <f>B55</f>
        <v>401614.5</v>
      </c>
      <c r="C56" s="471">
        <f>C55</f>
        <v>344879.16</v>
      </c>
      <c r="D56" s="471">
        <f>D55</f>
        <v>367653.53</v>
      </c>
      <c r="E56" s="471">
        <f>E55</f>
        <v>373192.34</v>
      </c>
      <c r="F56" s="471">
        <f>F55</f>
        <v>384615.58999999997</v>
      </c>
    </row>
    <row r="57" spans="1:6" x14ac:dyDescent="0.25">
      <c r="A57" s="39" t="s">
        <v>59</v>
      </c>
      <c r="B57" s="587"/>
      <c r="C57" s="587"/>
      <c r="D57" s="587"/>
      <c r="E57" s="587"/>
      <c r="F57" s="587"/>
    </row>
    <row r="58" spans="1:6" x14ac:dyDescent="0.25">
      <c r="A58" s="39" t="s">
        <v>58</v>
      </c>
      <c r="B58" s="588">
        <f>532961.98</f>
        <v>532961.98</v>
      </c>
      <c r="C58" s="588">
        <f>B58</f>
        <v>532961.98</v>
      </c>
      <c r="D58" s="588">
        <f>C58</f>
        <v>532961.98</v>
      </c>
      <c r="E58" s="588">
        <f>D58</f>
        <v>532961.98</v>
      </c>
      <c r="F58" s="588">
        <f>E58</f>
        <v>532961.98</v>
      </c>
    </row>
    <row r="59" spans="1:6" x14ac:dyDescent="0.25">
      <c r="A59" s="39" t="s">
        <v>57</v>
      </c>
      <c r="B59" s="588">
        <f>-14861.4</f>
        <v>-14861.4</v>
      </c>
      <c r="C59" s="588">
        <f>-17842.11</f>
        <v>-17842.11</v>
      </c>
      <c r="D59" s="588">
        <f>-4352.56</f>
        <v>-4352.5600000000004</v>
      </c>
      <c r="E59" s="588">
        <f>-11825.5</f>
        <v>-11825.5</v>
      </c>
      <c r="F59" s="588">
        <f>-17770.17</f>
        <v>-17770.169999999998</v>
      </c>
    </row>
    <row r="60" spans="1:6" x14ac:dyDescent="0.25">
      <c r="A60" s="39" t="s">
        <v>56</v>
      </c>
      <c r="B60" s="471">
        <f>(B58)+(B59)</f>
        <v>518100.57999999996</v>
      </c>
      <c r="C60" s="471">
        <f>(C58)+(C59)</f>
        <v>515119.87</v>
      </c>
      <c r="D60" s="471">
        <f>(D58)+(D59)</f>
        <v>528609.41999999993</v>
      </c>
      <c r="E60" s="471">
        <f>(E58)+(E59)</f>
        <v>521136.48</v>
      </c>
      <c r="F60" s="471">
        <f>(F58)+(F59)</f>
        <v>515191.81</v>
      </c>
    </row>
    <row r="61" spans="1:6" x14ac:dyDescent="0.25">
      <c r="A61" s="39" t="s">
        <v>55</v>
      </c>
      <c r="B61" s="471">
        <f>(B56)+(B60)</f>
        <v>919715.08</v>
      </c>
      <c r="C61" s="471">
        <f>(C56)+(C60)</f>
        <v>859999.03</v>
      </c>
      <c r="D61" s="471">
        <f>(D56)+(D60)</f>
        <v>896262.95</v>
      </c>
      <c r="E61" s="471">
        <f>(E56)+(E60)</f>
        <v>894328.82000000007</v>
      </c>
      <c r="F61" s="471">
        <f>(F56)+(F60)</f>
        <v>899807.39999999991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C8DF-FF9D-4FFE-9D41-BB46817ECA91}">
  <sheetPr codeName="Sheet7"/>
  <dimension ref="A1:Y75"/>
  <sheetViews>
    <sheetView zoomScale="110" zoomScaleNormal="110"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N52" sqref="N52"/>
    </sheetView>
  </sheetViews>
  <sheetFormatPr defaultColWidth="55.28515625" defaultRowHeight="15" x14ac:dyDescent="0.25"/>
  <cols>
    <col min="1" max="1" width="37.5703125" bestFit="1" customWidth="1"/>
    <col min="2" max="3" width="12" bestFit="1" customWidth="1"/>
    <col min="4" max="4" width="10.85546875" bestFit="1" customWidth="1"/>
    <col min="5" max="5" width="9.140625" bestFit="1" customWidth="1"/>
    <col min="6" max="7" width="11.28515625" bestFit="1" customWidth="1"/>
    <col min="8" max="8" width="10.85546875" bestFit="1" customWidth="1"/>
    <col min="9" max="9" width="9.140625" bestFit="1" customWidth="1"/>
    <col min="10" max="11" width="11.28515625" bestFit="1" customWidth="1"/>
    <col min="12" max="12" width="12" bestFit="1" customWidth="1"/>
    <col min="13" max="13" width="8.140625" bestFit="1" customWidth="1"/>
    <col min="14" max="14" width="11.28515625" bestFit="1" customWidth="1"/>
    <col min="15" max="15" width="12" bestFit="1" customWidth="1"/>
    <col min="16" max="16" width="10.85546875" bestFit="1" customWidth="1"/>
    <col min="17" max="17" width="8.140625" customWidth="1"/>
    <col min="18" max="18" width="11.28515625" bestFit="1" customWidth="1"/>
    <col min="19" max="19" width="12" bestFit="1" customWidth="1"/>
    <col min="20" max="20" width="10.85546875" bestFit="1" customWidth="1"/>
    <col min="21" max="21" width="8.140625" customWidth="1"/>
    <col min="22" max="23" width="12.28515625" bestFit="1" customWidth="1"/>
    <col min="24" max="24" width="12" bestFit="1" customWidth="1"/>
    <col min="25" max="25" width="8.140625" bestFit="1" customWidth="1"/>
  </cols>
  <sheetData>
    <row r="1" spans="1:25" ht="18.75" x14ac:dyDescent="0.3">
      <c r="A1" s="72" t="s">
        <v>1034</v>
      </c>
    </row>
    <row r="2" spans="1:25" ht="18.75" x14ac:dyDescent="0.3">
      <c r="A2" s="72" t="s">
        <v>1451</v>
      </c>
    </row>
    <row r="3" spans="1:25" x14ac:dyDescent="0.25">
      <c r="A3" s="590" t="s">
        <v>1583</v>
      </c>
    </row>
    <row r="4" spans="1:25" ht="15.75" thickBot="1" x14ac:dyDescent="0.3"/>
    <row r="5" spans="1:25" x14ac:dyDescent="0.25">
      <c r="A5" s="586"/>
      <c r="B5" s="738" t="s">
        <v>1389</v>
      </c>
      <c r="C5" s="739"/>
      <c r="D5" s="739"/>
      <c r="E5" s="739"/>
      <c r="F5" s="743" t="s">
        <v>1388</v>
      </c>
      <c r="G5" s="744"/>
      <c r="H5" s="744"/>
      <c r="I5" s="745"/>
      <c r="J5" s="738" t="s">
        <v>1387</v>
      </c>
      <c r="K5" s="739"/>
      <c r="L5" s="739"/>
      <c r="M5" s="739"/>
      <c r="N5" s="743" t="s">
        <v>1386</v>
      </c>
      <c r="O5" s="744"/>
      <c r="P5" s="744"/>
      <c r="Q5" s="745"/>
      <c r="R5" s="738" t="s">
        <v>1385</v>
      </c>
      <c r="S5" s="739"/>
      <c r="T5" s="739"/>
      <c r="U5" s="739"/>
      <c r="V5" s="740" t="s">
        <v>1</v>
      </c>
      <c r="W5" s="741"/>
      <c r="X5" s="741"/>
      <c r="Y5" s="742"/>
    </row>
    <row r="6" spans="1:25" ht="30" x14ac:dyDescent="0.25">
      <c r="A6" s="586"/>
      <c r="B6" s="469" t="s">
        <v>102</v>
      </c>
      <c r="C6" s="469" t="s">
        <v>101</v>
      </c>
      <c r="D6" s="469" t="s">
        <v>100</v>
      </c>
      <c r="E6" s="469" t="s">
        <v>575</v>
      </c>
      <c r="F6" s="591" t="s">
        <v>102</v>
      </c>
      <c r="G6" s="469" t="s">
        <v>101</v>
      </c>
      <c r="H6" s="469" t="s">
        <v>100</v>
      </c>
      <c r="I6" s="592" t="s">
        <v>575</v>
      </c>
      <c r="J6" s="469" t="s">
        <v>102</v>
      </c>
      <c r="K6" s="469" t="s">
        <v>101</v>
      </c>
      <c r="L6" s="469" t="s">
        <v>100</v>
      </c>
      <c r="M6" s="469" t="s">
        <v>575</v>
      </c>
      <c r="N6" s="591" t="s">
        <v>102</v>
      </c>
      <c r="O6" s="469" t="s">
        <v>101</v>
      </c>
      <c r="P6" s="469" t="s">
        <v>100</v>
      </c>
      <c r="Q6" s="592" t="s">
        <v>575</v>
      </c>
      <c r="R6" s="469" t="s">
        <v>102</v>
      </c>
      <c r="S6" s="469" t="s">
        <v>101</v>
      </c>
      <c r="T6" s="469" t="s">
        <v>100</v>
      </c>
      <c r="U6" s="469" t="s">
        <v>575</v>
      </c>
      <c r="V6" s="593" t="s">
        <v>102</v>
      </c>
      <c r="W6" s="594" t="s">
        <v>101</v>
      </c>
      <c r="X6" s="594" t="s">
        <v>100</v>
      </c>
      <c r="Y6" s="595" t="s">
        <v>575</v>
      </c>
    </row>
    <row r="7" spans="1:25" x14ac:dyDescent="0.25">
      <c r="A7" s="39" t="s">
        <v>2</v>
      </c>
      <c r="B7" s="587"/>
      <c r="C7" s="587"/>
      <c r="D7" s="587"/>
      <c r="E7" s="587"/>
      <c r="F7" s="634"/>
      <c r="G7" s="587"/>
      <c r="H7" s="587"/>
      <c r="I7" s="635"/>
      <c r="J7" s="587"/>
      <c r="K7" s="587"/>
      <c r="L7" s="587"/>
      <c r="M7" s="587"/>
      <c r="N7" s="634"/>
      <c r="O7" s="587"/>
      <c r="P7" s="587"/>
      <c r="Q7" s="635"/>
      <c r="R7" s="587"/>
      <c r="S7" s="587"/>
      <c r="T7" s="587"/>
      <c r="U7" s="587"/>
      <c r="V7" s="638"/>
      <c r="W7" s="639"/>
      <c r="X7" s="639"/>
      <c r="Y7" s="640"/>
    </row>
    <row r="8" spans="1:25" x14ac:dyDescent="0.25">
      <c r="A8" s="39" t="s">
        <v>3</v>
      </c>
      <c r="B8" s="587"/>
      <c r="C8" s="587"/>
      <c r="D8" s="588">
        <f t="shared" ref="D8:D29" si="0">(B8)-(C8)</f>
        <v>0</v>
      </c>
      <c r="E8" s="636" t="str">
        <f t="shared" ref="E8:E29" si="1">IF(C8=0,"",(B8)/(C8))</f>
        <v/>
      </c>
      <c r="F8" s="634"/>
      <c r="G8" s="587"/>
      <c r="H8" s="588">
        <f t="shared" ref="H8:H29" si="2">(F8)-(G8)</f>
        <v>0</v>
      </c>
      <c r="I8" s="75" t="str">
        <f t="shared" ref="I8:I29" si="3">IF(G8=0,"",(F8)/(G8))</f>
        <v/>
      </c>
      <c r="J8" s="587"/>
      <c r="K8" s="587"/>
      <c r="L8" s="588">
        <f t="shared" ref="L8:L29" si="4">(J8)-(K8)</f>
        <v>0</v>
      </c>
      <c r="M8" s="636" t="str">
        <f t="shared" ref="M8:M29" si="5">IF(K8=0,"",(J8)/(K8))</f>
        <v/>
      </c>
      <c r="N8" s="634"/>
      <c r="O8" s="587"/>
      <c r="P8" s="588">
        <f t="shared" ref="P8:P29" si="6">(N8)-(O8)</f>
        <v>0</v>
      </c>
      <c r="Q8" s="75" t="str">
        <f t="shared" ref="Q8:Q29" si="7">IF(O8=0,"",(N8)/(O8))</f>
        <v/>
      </c>
      <c r="R8" s="587"/>
      <c r="S8" s="587"/>
      <c r="T8" s="588">
        <f t="shared" ref="T8:T29" si="8">(R8)-(S8)</f>
        <v>0</v>
      </c>
      <c r="U8" s="636" t="str">
        <f t="shared" ref="U8:U29" si="9">IF(S8=0,"",(R8)/(S8))</f>
        <v/>
      </c>
      <c r="V8" s="641">
        <f t="shared" ref="V8:W29" si="10">((((B8)+(F8))+(J8))+(N8))+(R8)</f>
        <v>0</v>
      </c>
      <c r="W8" s="642">
        <f t="shared" si="10"/>
        <v>0</v>
      </c>
      <c r="X8" s="642">
        <f t="shared" ref="X8:X29" si="11">(V8)-(W8)</f>
        <v>0</v>
      </c>
      <c r="Y8" s="643" t="str">
        <f t="shared" ref="Y8:Y29" si="12">IF(W8=0,"",(V8)/(W8))</f>
        <v/>
      </c>
    </row>
    <row r="9" spans="1:25" x14ac:dyDescent="0.25">
      <c r="A9" s="39" t="s">
        <v>4</v>
      </c>
      <c r="B9" s="588">
        <f>34166.65</f>
        <v>34166.65</v>
      </c>
      <c r="C9" s="588">
        <f>25000</f>
        <v>25000</v>
      </c>
      <c r="D9" s="588">
        <f t="shared" si="0"/>
        <v>9166.6500000000015</v>
      </c>
      <c r="E9" s="636">
        <f t="shared" si="1"/>
        <v>1.3666660000000002</v>
      </c>
      <c r="F9" s="637">
        <f>32291.65</f>
        <v>32291.65</v>
      </c>
      <c r="G9" s="588">
        <f>25750</f>
        <v>25750</v>
      </c>
      <c r="H9" s="588">
        <f t="shared" si="2"/>
        <v>6541.6500000000015</v>
      </c>
      <c r="I9" s="75">
        <f t="shared" si="3"/>
        <v>1.2540446601941748</v>
      </c>
      <c r="J9" s="588">
        <f>35625.02</f>
        <v>35625.019999999997</v>
      </c>
      <c r="K9" s="588">
        <f>26500</f>
        <v>26500</v>
      </c>
      <c r="L9" s="588">
        <f t="shared" si="4"/>
        <v>9125.0199999999968</v>
      </c>
      <c r="M9" s="636">
        <f t="shared" si="5"/>
        <v>1.3443403773584905</v>
      </c>
      <c r="N9" s="637">
        <f>36249.95</f>
        <v>36249.949999999997</v>
      </c>
      <c r="O9" s="588">
        <f>27250</f>
        <v>27250</v>
      </c>
      <c r="P9" s="588">
        <f t="shared" si="6"/>
        <v>8999.9499999999971</v>
      </c>
      <c r="Q9" s="75">
        <f t="shared" si="7"/>
        <v>1.3302733944954128</v>
      </c>
      <c r="R9" s="588">
        <f>35833.31</f>
        <v>35833.31</v>
      </c>
      <c r="S9" s="588">
        <f>28000</f>
        <v>28000</v>
      </c>
      <c r="T9" s="588">
        <f t="shared" si="8"/>
        <v>7833.3099999999977</v>
      </c>
      <c r="U9" s="636">
        <f t="shared" si="9"/>
        <v>1.2797610714285714</v>
      </c>
      <c r="V9" s="641">
        <f t="shared" si="10"/>
        <v>174166.58000000002</v>
      </c>
      <c r="W9" s="642">
        <f t="shared" si="10"/>
        <v>132500</v>
      </c>
      <c r="X9" s="642">
        <f t="shared" si="11"/>
        <v>41666.580000000016</v>
      </c>
      <c r="Y9" s="643">
        <f t="shared" si="12"/>
        <v>1.3144647547169812</v>
      </c>
    </row>
    <row r="10" spans="1:25" x14ac:dyDescent="0.25">
      <c r="A10" s="39" t="s">
        <v>5</v>
      </c>
      <c r="B10" s="587"/>
      <c r="C10" s="587"/>
      <c r="D10" s="588">
        <f t="shared" si="0"/>
        <v>0</v>
      </c>
      <c r="E10" s="636" t="str">
        <f t="shared" si="1"/>
        <v/>
      </c>
      <c r="F10" s="634"/>
      <c r="G10" s="587"/>
      <c r="H10" s="588">
        <f t="shared" si="2"/>
        <v>0</v>
      </c>
      <c r="I10" s="75" t="str">
        <f t="shared" si="3"/>
        <v/>
      </c>
      <c r="J10" s="587"/>
      <c r="K10" s="587"/>
      <c r="L10" s="588">
        <f t="shared" si="4"/>
        <v>0</v>
      </c>
      <c r="M10" s="636" t="str">
        <f t="shared" si="5"/>
        <v/>
      </c>
      <c r="N10" s="634"/>
      <c r="O10" s="587"/>
      <c r="P10" s="588">
        <f t="shared" si="6"/>
        <v>0</v>
      </c>
      <c r="Q10" s="75" t="str">
        <f t="shared" si="7"/>
        <v/>
      </c>
      <c r="R10" s="587"/>
      <c r="S10" s="587"/>
      <c r="T10" s="588">
        <f t="shared" si="8"/>
        <v>0</v>
      </c>
      <c r="U10" s="636" t="str">
        <f t="shared" si="9"/>
        <v/>
      </c>
      <c r="V10" s="641">
        <f t="shared" si="10"/>
        <v>0</v>
      </c>
      <c r="W10" s="642">
        <f t="shared" si="10"/>
        <v>0</v>
      </c>
      <c r="X10" s="642">
        <f t="shared" si="11"/>
        <v>0</v>
      </c>
      <c r="Y10" s="643" t="str">
        <f t="shared" si="12"/>
        <v/>
      </c>
    </row>
    <row r="11" spans="1:25" x14ac:dyDescent="0.25">
      <c r="A11" s="39" t="s">
        <v>726</v>
      </c>
      <c r="B11" s="587"/>
      <c r="C11" s="588">
        <f>0</f>
        <v>0</v>
      </c>
      <c r="D11" s="588">
        <f t="shared" si="0"/>
        <v>0</v>
      </c>
      <c r="E11" s="636" t="str">
        <f t="shared" si="1"/>
        <v/>
      </c>
      <c r="F11" s="634"/>
      <c r="G11" s="588">
        <f>0</f>
        <v>0</v>
      </c>
      <c r="H11" s="588">
        <f t="shared" si="2"/>
        <v>0</v>
      </c>
      <c r="I11" s="75" t="str">
        <f t="shared" si="3"/>
        <v/>
      </c>
      <c r="J11" s="587"/>
      <c r="K11" s="588">
        <f>0</f>
        <v>0</v>
      </c>
      <c r="L11" s="588">
        <f t="shared" si="4"/>
        <v>0</v>
      </c>
      <c r="M11" s="636" t="str">
        <f t="shared" si="5"/>
        <v/>
      </c>
      <c r="N11" s="634"/>
      <c r="O11" s="588">
        <f>0</f>
        <v>0</v>
      </c>
      <c r="P11" s="588">
        <f t="shared" si="6"/>
        <v>0</v>
      </c>
      <c r="Q11" s="75" t="str">
        <f t="shared" si="7"/>
        <v/>
      </c>
      <c r="R11" s="587"/>
      <c r="S11" s="588">
        <f>0</f>
        <v>0</v>
      </c>
      <c r="T11" s="588">
        <f t="shared" si="8"/>
        <v>0</v>
      </c>
      <c r="U11" s="636" t="str">
        <f t="shared" si="9"/>
        <v/>
      </c>
      <c r="V11" s="641">
        <f t="shared" si="10"/>
        <v>0</v>
      </c>
      <c r="W11" s="642">
        <f t="shared" si="10"/>
        <v>0</v>
      </c>
      <c r="X11" s="642">
        <f t="shared" si="11"/>
        <v>0</v>
      </c>
      <c r="Y11" s="643" t="str">
        <f t="shared" si="12"/>
        <v/>
      </c>
    </row>
    <row r="12" spans="1:25" x14ac:dyDescent="0.25">
      <c r="A12" s="39" t="s">
        <v>727</v>
      </c>
      <c r="B12" s="588">
        <f>335</f>
        <v>335</v>
      </c>
      <c r="C12" s="588">
        <f>0</f>
        <v>0</v>
      </c>
      <c r="D12" s="588">
        <f t="shared" si="0"/>
        <v>335</v>
      </c>
      <c r="E12" s="636" t="str">
        <f t="shared" si="1"/>
        <v/>
      </c>
      <c r="F12" s="637">
        <f>12532.5</f>
        <v>12532.5</v>
      </c>
      <c r="G12" s="588">
        <f>21250</f>
        <v>21250</v>
      </c>
      <c r="H12" s="588">
        <f t="shared" si="2"/>
        <v>-8717.5</v>
      </c>
      <c r="I12" s="75">
        <f t="shared" si="3"/>
        <v>0.58976470588235297</v>
      </c>
      <c r="J12" s="588">
        <f>7325</f>
        <v>7325</v>
      </c>
      <c r="K12" s="588">
        <f>1500</f>
        <v>1500</v>
      </c>
      <c r="L12" s="588">
        <f t="shared" si="4"/>
        <v>5825</v>
      </c>
      <c r="M12" s="636">
        <f t="shared" si="5"/>
        <v>4.8833333333333337</v>
      </c>
      <c r="N12" s="637">
        <f>1750</f>
        <v>1750</v>
      </c>
      <c r="O12" s="588">
        <f>1500</f>
        <v>1500</v>
      </c>
      <c r="P12" s="588">
        <f t="shared" si="6"/>
        <v>250</v>
      </c>
      <c r="Q12" s="75">
        <f t="shared" si="7"/>
        <v>1.1666666666666667</v>
      </c>
      <c r="R12" s="588">
        <f>-820</f>
        <v>-820</v>
      </c>
      <c r="S12" s="588">
        <f>1500</f>
        <v>1500</v>
      </c>
      <c r="T12" s="588">
        <f t="shared" si="8"/>
        <v>-2320</v>
      </c>
      <c r="U12" s="636">
        <f t="shared" si="9"/>
        <v>-0.54666666666666663</v>
      </c>
      <c r="V12" s="641">
        <f t="shared" si="10"/>
        <v>21122.5</v>
      </c>
      <c r="W12" s="642">
        <f t="shared" si="10"/>
        <v>25750</v>
      </c>
      <c r="X12" s="642">
        <f t="shared" si="11"/>
        <v>-4627.5</v>
      </c>
      <c r="Y12" s="643">
        <f t="shared" si="12"/>
        <v>0.82029126213592229</v>
      </c>
    </row>
    <row r="13" spans="1:25" x14ac:dyDescent="0.25">
      <c r="A13" s="39" t="s">
        <v>6</v>
      </c>
      <c r="B13" s="471">
        <f>((B10)+(B11))+(B12)</f>
        <v>335</v>
      </c>
      <c r="C13" s="471">
        <f>((C10)+(C11))+(C12)</f>
        <v>0</v>
      </c>
      <c r="D13" s="471">
        <f t="shared" si="0"/>
        <v>335</v>
      </c>
      <c r="E13" s="596" t="str">
        <f t="shared" si="1"/>
        <v/>
      </c>
      <c r="F13" s="597">
        <f>((F10)+(F11))+(F12)</f>
        <v>12532.5</v>
      </c>
      <c r="G13" s="471">
        <f>((G10)+(G11))+(G12)</f>
        <v>21250</v>
      </c>
      <c r="H13" s="471">
        <f t="shared" si="2"/>
        <v>-8717.5</v>
      </c>
      <c r="I13" s="53">
        <f t="shared" si="3"/>
        <v>0.58976470588235297</v>
      </c>
      <c r="J13" s="471">
        <f>((J10)+(J11))+(J12)</f>
        <v>7325</v>
      </c>
      <c r="K13" s="471">
        <f>((K10)+(K11))+(K12)</f>
        <v>1500</v>
      </c>
      <c r="L13" s="471">
        <f t="shared" si="4"/>
        <v>5825</v>
      </c>
      <c r="M13" s="596">
        <f t="shared" si="5"/>
        <v>4.8833333333333337</v>
      </c>
      <c r="N13" s="597">
        <f>((N10)+(N11))+(N12)</f>
        <v>1750</v>
      </c>
      <c r="O13" s="471">
        <f>((O10)+(O11))+(O12)</f>
        <v>1500</v>
      </c>
      <c r="P13" s="471">
        <f t="shared" si="6"/>
        <v>250</v>
      </c>
      <c r="Q13" s="53">
        <f t="shared" si="7"/>
        <v>1.1666666666666667</v>
      </c>
      <c r="R13" s="471">
        <f>((R10)+(R11))+(R12)</f>
        <v>-820</v>
      </c>
      <c r="S13" s="471">
        <f>((S10)+(S11))+(S12)</f>
        <v>1500</v>
      </c>
      <c r="T13" s="471">
        <f t="shared" si="8"/>
        <v>-2320</v>
      </c>
      <c r="U13" s="596">
        <f t="shared" si="9"/>
        <v>-0.54666666666666663</v>
      </c>
      <c r="V13" s="598">
        <f t="shared" si="10"/>
        <v>21122.5</v>
      </c>
      <c r="W13" s="599">
        <f t="shared" si="10"/>
        <v>25750</v>
      </c>
      <c r="X13" s="599">
        <f t="shared" si="11"/>
        <v>-4627.5</v>
      </c>
      <c r="Y13" s="600">
        <f t="shared" si="12"/>
        <v>0.82029126213592229</v>
      </c>
    </row>
    <row r="14" spans="1:25" x14ac:dyDescent="0.25">
      <c r="A14" s="39" t="s">
        <v>7</v>
      </c>
      <c r="B14" s="587"/>
      <c r="C14" s="587"/>
      <c r="D14" s="588">
        <f t="shared" si="0"/>
        <v>0</v>
      </c>
      <c r="E14" s="636" t="str">
        <f t="shared" si="1"/>
        <v/>
      </c>
      <c r="F14" s="634"/>
      <c r="G14" s="587"/>
      <c r="H14" s="588">
        <f t="shared" si="2"/>
        <v>0</v>
      </c>
      <c r="I14" s="75" t="str">
        <f t="shared" si="3"/>
        <v/>
      </c>
      <c r="J14" s="587"/>
      <c r="K14" s="587"/>
      <c r="L14" s="588">
        <f t="shared" si="4"/>
        <v>0</v>
      </c>
      <c r="M14" s="636" t="str">
        <f t="shared" si="5"/>
        <v/>
      </c>
      <c r="N14" s="634"/>
      <c r="O14" s="587"/>
      <c r="P14" s="588">
        <f t="shared" si="6"/>
        <v>0</v>
      </c>
      <c r="Q14" s="75" t="str">
        <f t="shared" si="7"/>
        <v/>
      </c>
      <c r="R14" s="587"/>
      <c r="S14" s="587"/>
      <c r="T14" s="588">
        <f t="shared" si="8"/>
        <v>0</v>
      </c>
      <c r="U14" s="636" t="str">
        <f t="shared" si="9"/>
        <v/>
      </c>
      <c r="V14" s="641">
        <f t="shared" si="10"/>
        <v>0</v>
      </c>
      <c r="W14" s="642">
        <f t="shared" si="10"/>
        <v>0</v>
      </c>
      <c r="X14" s="642">
        <f t="shared" si="11"/>
        <v>0</v>
      </c>
      <c r="Y14" s="643" t="str">
        <f t="shared" si="12"/>
        <v/>
      </c>
    </row>
    <row r="15" spans="1:25" x14ac:dyDescent="0.25">
      <c r="A15" s="39" t="s">
        <v>728</v>
      </c>
      <c r="B15" s="587"/>
      <c r="C15" s="588">
        <f>0</f>
        <v>0</v>
      </c>
      <c r="D15" s="588">
        <f t="shared" si="0"/>
        <v>0</v>
      </c>
      <c r="E15" s="636" t="str">
        <f t="shared" si="1"/>
        <v/>
      </c>
      <c r="F15" s="634"/>
      <c r="G15" s="588">
        <f>0</f>
        <v>0</v>
      </c>
      <c r="H15" s="588">
        <f t="shared" si="2"/>
        <v>0</v>
      </c>
      <c r="I15" s="75" t="str">
        <f t="shared" si="3"/>
        <v/>
      </c>
      <c r="J15" s="587"/>
      <c r="K15" s="588">
        <f>0</f>
        <v>0</v>
      </c>
      <c r="L15" s="588">
        <f t="shared" si="4"/>
        <v>0</v>
      </c>
      <c r="M15" s="636" t="str">
        <f t="shared" si="5"/>
        <v/>
      </c>
      <c r="N15" s="634"/>
      <c r="O15" s="588">
        <f>0</f>
        <v>0</v>
      </c>
      <c r="P15" s="588">
        <f t="shared" si="6"/>
        <v>0</v>
      </c>
      <c r="Q15" s="75" t="str">
        <f t="shared" si="7"/>
        <v/>
      </c>
      <c r="R15" s="587"/>
      <c r="S15" s="588">
        <f>0</f>
        <v>0</v>
      </c>
      <c r="T15" s="588">
        <f t="shared" si="8"/>
        <v>0</v>
      </c>
      <c r="U15" s="636" t="str">
        <f t="shared" si="9"/>
        <v/>
      </c>
      <c r="V15" s="641">
        <f t="shared" si="10"/>
        <v>0</v>
      </c>
      <c r="W15" s="642">
        <f t="shared" si="10"/>
        <v>0</v>
      </c>
      <c r="X15" s="642">
        <f t="shared" si="11"/>
        <v>0</v>
      </c>
      <c r="Y15" s="643" t="str">
        <f t="shared" si="12"/>
        <v/>
      </c>
    </row>
    <row r="16" spans="1:25" x14ac:dyDescent="0.25">
      <c r="A16" s="39" t="s">
        <v>729</v>
      </c>
      <c r="B16" s="587"/>
      <c r="C16" s="588">
        <f>0</f>
        <v>0</v>
      </c>
      <c r="D16" s="588">
        <f t="shared" si="0"/>
        <v>0</v>
      </c>
      <c r="E16" s="636" t="str">
        <f t="shared" si="1"/>
        <v/>
      </c>
      <c r="F16" s="637">
        <f>9500</f>
        <v>9500</v>
      </c>
      <c r="G16" s="588">
        <f>7000</f>
        <v>7000</v>
      </c>
      <c r="H16" s="588">
        <f t="shared" si="2"/>
        <v>2500</v>
      </c>
      <c r="I16" s="75">
        <f t="shared" si="3"/>
        <v>1.3571428571428572</v>
      </c>
      <c r="J16" s="588">
        <f>13000</f>
        <v>13000</v>
      </c>
      <c r="K16" s="588">
        <f>32000</f>
        <v>32000</v>
      </c>
      <c r="L16" s="588">
        <f t="shared" si="4"/>
        <v>-19000</v>
      </c>
      <c r="M16" s="636">
        <f t="shared" si="5"/>
        <v>0.40625</v>
      </c>
      <c r="N16" s="637">
        <f>3500</f>
        <v>3500</v>
      </c>
      <c r="O16" s="588">
        <f>7000</f>
        <v>7000</v>
      </c>
      <c r="P16" s="588">
        <f t="shared" si="6"/>
        <v>-3500</v>
      </c>
      <c r="Q16" s="75">
        <f t="shared" si="7"/>
        <v>0.5</v>
      </c>
      <c r="R16" s="588">
        <f>3500</f>
        <v>3500</v>
      </c>
      <c r="S16" s="588">
        <f>7000</f>
        <v>7000</v>
      </c>
      <c r="T16" s="588">
        <f t="shared" si="8"/>
        <v>-3500</v>
      </c>
      <c r="U16" s="636">
        <f t="shared" si="9"/>
        <v>0.5</v>
      </c>
      <c r="V16" s="641">
        <f t="shared" si="10"/>
        <v>29500</v>
      </c>
      <c r="W16" s="642">
        <f t="shared" si="10"/>
        <v>53000</v>
      </c>
      <c r="X16" s="642">
        <f t="shared" si="11"/>
        <v>-23500</v>
      </c>
      <c r="Y16" s="643">
        <f t="shared" si="12"/>
        <v>0.55660377358490565</v>
      </c>
    </row>
    <row r="17" spans="1:25" x14ac:dyDescent="0.25">
      <c r="A17" s="39" t="s">
        <v>8</v>
      </c>
      <c r="B17" s="471">
        <f>((B14)+(B15))+(B16)</f>
        <v>0</v>
      </c>
      <c r="C17" s="471">
        <f>((C14)+(C15))+(C16)</f>
        <v>0</v>
      </c>
      <c r="D17" s="471">
        <f t="shared" si="0"/>
        <v>0</v>
      </c>
      <c r="E17" s="596" t="str">
        <f t="shared" si="1"/>
        <v/>
      </c>
      <c r="F17" s="597">
        <f>((F14)+(F15))+(F16)</f>
        <v>9500</v>
      </c>
      <c r="G17" s="471">
        <f>((G14)+(G15))+(G16)</f>
        <v>7000</v>
      </c>
      <c r="H17" s="471">
        <f t="shared" si="2"/>
        <v>2500</v>
      </c>
      <c r="I17" s="53">
        <f t="shared" si="3"/>
        <v>1.3571428571428572</v>
      </c>
      <c r="J17" s="471">
        <f>((J14)+(J15))+(J16)</f>
        <v>13000</v>
      </c>
      <c r="K17" s="471">
        <f>((K14)+(K15))+(K16)</f>
        <v>32000</v>
      </c>
      <c r="L17" s="471">
        <f t="shared" si="4"/>
        <v>-19000</v>
      </c>
      <c r="M17" s="596">
        <f t="shared" si="5"/>
        <v>0.40625</v>
      </c>
      <c r="N17" s="597">
        <f>((N14)+(N15))+(N16)</f>
        <v>3500</v>
      </c>
      <c r="O17" s="471">
        <f>((O14)+(O15))+(O16)</f>
        <v>7000</v>
      </c>
      <c r="P17" s="471">
        <f t="shared" si="6"/>
        <v>-3500</v>
      </c>
      <c r="Q17" s="53">
        <f t="shared" si="7"/>
        <v>0.5</v>
      </c>
      <c r="R17" s="471">
        <f>((R14)+(R15))+(R16)</f>
        <v>3500</v>
      </c>
      <c r="S17" s="471">
        <f>((S14)+(S15))+(S16)</f>
        <v>7000</v>
      </c>
      <c r="T17" s="471">
        <f t="shared" si="8"/>
        <v>-3500</v>
      </c>
      <c r="U17" s="596">
        <f t="shared" si="9"/>
        <v>0.5</v>
      </c>
      <c r="V17" s="598">
        <f t="shared" si="10"/>
        <v>29500</v>
      </c>
      <c r="W17" s="599">
        <f t="shared" si="10"/>
        <v>53000</v>
      </c>
      <c r="X17" s="599">
        <f t="shared" si="11"/>
        <v>-23500</v>
      </c>
      <c r="Y17" s="600">
        <f t="shared" si="12"/>
        <v>0.55660377358490565</v>
      </c>
    </row>
    <row r="18" spans="1:25" x14ac:dyDescent="0.25">
      <c r="A18" s="39" t="s">
        <v>99</v>
      </c>
      <c r="B18" s="587"/>
      <c r="C18" s="588">
        <f>1000</f>
        <v>1000</v>
      </c>
      <c r="D18" s="588">
        <f t="shared" si="0"/>
        <v>-1000</v>
      </c>
      <c r="E18" s="636">
        <f t="shared" si="1"/>
        <v>0</v>
      </c>
      <c r="F18" s="634"/>
      <c r="G18" s="588">
        <f>1000</f>
        <v>1000</v>
      </c>
      <c r="H18" s="588">
        <f t="shared" si="2"/>
        <v>-1000</v>
      </c>
      <c r="I18" s="75">
        <f t="shared" si="3"/>
        <v>0</v>
      </c>
      <c r="J18" s="587"/>
      <c r="K18" s="588">
        <f>1000</f>
        <v>1000</v>
      </c>
      <c r="L18" s="588">
        <f t="shared" si="4"/>
        <v>-1000</v>
      </c>
      <c r="M18" s="636">
        <f t="shared" si="5"/>
        <v>0</v>
      </c>
      <c r="N18" s="634"/>
      <c r="O18" s="588">
        <f>1000</f>
        <v>1000</v>
      </c>
      <c r="P18" s="588">
        <f t="shared" si="6"/>
        <v>-1000</v>
      </c>
      <c r="Q18" s="75">
        <f t="shared" si="7"/>
        <v>0</v>
      </c>
      <c r="R18" s="587"/>
      <c r="S18" s="588">
        <f>1000</f>
        <v>1000</v>
      </c>
      <c r="T18" s="588">
        <f t="shared" si="8"/>
        <v>-1000</v>
      </c>
      <c r="U18" s="636">
        <f t="shared" si="9"/>
        <v>0</v>
      </c>
      <c r="V18" s="641">
        <f t="shared" si="10"/>
        <v>0</v>
      </c>
      <c r="W18" s="642">
        <f t="shared" si="10"/>
        <v>5000</v>
      </c>
      <c r="X18" s="642">
        <f t="shared" si="11"/>
        <v>-5000</v>
      </c>
      <c r="Y18" s="643">
        <f t="shared" si="12"/>
        <v>0</v>
      </c>
    </row>
    <row r="19" spans="1:25" x14ac:dyDescent="0.25">
      <c r="A19" s="39" t="s">
        <v>9</v>
      </c>
      <c r="B19" s="587"/>
      <c r="C19" s="587"/>
      <c r="D19" s="588">
        <f t="shared" si="0"/>
        <v>0</v>
      </c>
      <c r="E19" s="636" t="str">
        <f t="shared" si="1"/>
        <v/>
      </c>
      <c r="F19" s="634"/>
      <c r="G19" s="587"/>
      <c r="H19" s="588">
        <f t="shared" si="2"/>
        <v>0</v>
      </c>
      <c r="I19" s="75" t="str">
        <f t="shared" si="3"/>
        <v/>
      </c>
      <c r="J19" s="587"/>
      <c r="K19" s="587"/>
      <c r="L19" s="588">
        <f t="shared" si="4"/>
        <v>0</v>
      </c>
      <c r="M19" s="636" t="str">
        <f t="shared" si="5"/>
        <v/>
      </c>
      <c r="N19" s="634"/>
      <c r="O19" s="587"/>
      <c r="P19" s="588">
        <f t="shared" si="6"/>
        <v>0</v>
      </c>
      <c r="Q19" s="75" t="str">
        <f t="shared" si="7"/>
        <v/>
      </c>
      <c r="R19" s="587"/>
      <c r="S19" s="587"/>
      <c r="T19" s="588">
        <f t="shared" si="8"/>
        <v>0</v>
      </c>
      <c r="U19" s="636" t="str">
        <f t="shared" si="9"/>
        <v/>
      </c>
      <c r="V19" s="641">
        <f t="shared" si="10"/>
        <v>0</v>
      </c>
      <c r="W19" s="642">
        <f t="shared" si="10"/>
        <v>0</v>
      </c>
      <c r="X19" s="642">
        <f t="shared" si="11"/>
        <v>0</v>
      </c>
      <c r="Y19" s="643" t="str">
        <f t="shared" si="12"/>
        <v/>
      </c>
    </row>
    <row r="20" spans="1:25" x14ac:dyDescent="0.25">
      <c r="A20" s="39" t="s">
        <v>10</v>
      </c>
      <c r="B20" s="588">
        <f>3515</f>
        <v>3515</v>
      </c>
      <c r="C20" s="588">
        <f>3750</f>
        <v>3750</v>
      </c>
      <c r="D20" s="588">
        <f t="shared" si="0"/>
        <v>-235</v>
      </c>
      <c r="E20" s="636">
        <f t="shared" si="1"/>
        <v>0.93733333333333335</v>
      </c>
      <c r="F20" s="637">
        <f>1865</f>
        <v>1865</v>
      </c>
      <c r="G20" s="588">
        <f>3750</f>
        <v>3750</v>
      </c>
      <c r="H20" s="588">
        <f t="shared" si="2"/>
        <v>-1885</v>
      </c>
      <c r="I20" s="75">
        <f t="shared" si="3"/>
        <v>0.49733333333333335</v>
      </c>
      <c r="J20" s="588">
        <f>3755</f>
        <v>3755</v>
      </c>
      <c r="K20" s="588">
        <f>3750</f>
        <v>3750</v>
      </c>
      <c r="L20" s="588">
        <f t="shared" si="4"/>
        <v>5</v>
      </c>
      <c r="M20" s="636">
        <f t="shared" si="5"/>
        <v>1.0013333333333334</v>
      </c>
      <c r="N20" s="637">
        <f>2435</f>
        <v>2435</v>
      </c>
      <c r="O20" s="588">
        <f>3750</f>
        <v>3750</v>
      </c>
      <c r="P20" s="588">
        <f t="shared" si="6"/>
        <v>-1315</v>
      </c>
      <c r="Q20" s="75">
        <f t="shared" si="7"/>
        <v>0.64933333333333332</v>
      </c>
      <c r="R20" s="588">
        <f>3205</f>
        <v>3205</v>
      </c>
      <c r="S20" s="588">
        <f>3750</f>
        <v>3750</v>
      </c>
      <c r="T20" s="588">
        <f t="shared" si="8"/>
        <v>-545</v>
      </c>
      <c r="U20" s="636">
        <f t="shared" si="9"/>
        <v>0.85466666666666669</v>
      </c>
      <c r="V20" s="641">
        <f t="shared" si="10"/>
        <v>14775</v>
      </c>
      <c r="W20" s="642">
        <f t="shared" si="10"/>
        <v>18750</v>
      </c>
      <c r="X20" s="642">
        <f t="shared" si="11"/>
        <v>-3975</v>
      </c>
      <c r="Y20" s="643">
        <f t="shared" si="12"/>
        <v>0.78800000000000003</v>
      </c>
    </row>
    <row r="21" spans="1:25" x14ac:dyDescent="0.25">
      <c r="A21" s="39" t="s">
        <v>11</v>
      </c>
      <c r="B21" s="588">
        <f>2090</f>
        <v>2090</v>
      </c>
      <c r="C21" s="588">
        <f>1250</f>
        <v>1250</v>
      </c>
      <c r="D21" s="588">
        <f t="shared" si="0"/>
        <v>840</v>
      </c>
      <c r="E21" s="636">
        <f t="shared" si="1"/>
        <v>1.6719999999999999</v>
      </c>
      <c r="F21" s="637">
        <f>1865</f>
        <v>1865</v>
      </c>
      <c r="G21" s="588">
        <f>1250</f>
        <v>1250</v>
      </c>
      <c r="H21" s="588">
        <f t="shared" si="2"/>
        <v>615</v>
      </c>
      <c r="I21" s="75">
        <f t="shared" si="3"/>
        <v>1.492</v>
      </c>
      <c r="J21" s="588">
        <f>1540</f>
        <v>1540</v>
      </c>
      <c r="K21" s="588">
        <f>1250</f>
        <v>1250</v>
      </c>
      <c r="L21" s="588">
        <f t="shared" si="4"/>
        <v>290</v>
      </c>
      <c r="M21" s="636">
        <f t="shared" si="5"/>
        <v>1.232</v>
      </c>
      <c r="N21" s="637">
        <f>2365</f>
        <v>2365</v>
      </c>
      <c r="O21" s="588">
        <f>1250</f>
        <v>1250</v>
      </c>
      <c r="P21" s="588">
        <f t="shared" si="6"/>
        <v>1115</v>
      </c>
      <c r="Q21" s="75">
        <f t="shared" si="7"/>
        <v>1.8919999999999999</v>
      </c>
      <c r="R21" s="588">
        <f>1397.5</f>
        <v>1397.5</v>
      </c>
      <c r="S21" s="588">
        <f>1250</f>
        <v>1250</v>
      </c>
      <c r="T21" s="588">
        <f t="shared" si="8"/>
        <v>147.5</v>
      </c>
      <c r="U21" s="636">
        <f t="shared" si="9"/>
        <v>1.1180000000000001</v>
      </c>
      <c r="V21" s="641">
        <f t="shared" si="10"/>
        <v>9257.5</v>
      </c>
      <c r="W21" s="642">
        <f t="shared" si="10"/>
        <v>6250</v>
      </c>
      <c r="X21" s="642">
        <f t="shared" si="11"/>
        <v>3007.5</v>
      </c>
      <c r="Y21" s="643">
        <f t="shared" si="12"/>
        <v>1.4812000000000001</v>
      </c>
    </row>
    <row r="22" spans="1:25" x14ac:dyDescent="0.25">
      <c r="A22" s="39" t="s">
        <v>12</v>
      </c>
      <c r="B22" s="471">
        <f>((B19)+(B20))+(B21)</f>
        <v>5605</v>
      </c>
      <c r="C22" s="471">
        <f>((C19)+(C20))+(C21)</f>
        <v>5000</v>
      </c>
      <c r="D22" s="471">
        <f t="shared" si="0"/>
        <v>605</v>
      </c>
      <c r="E22" s="596">
        <f t="shared" si="1"/>
        <v>1.121</v>
      </c>
      <c r="F22" s="597">
        <f>((F19)+(F20))+(F21)</f>
        <v>3730</v>
      </c>
      <c r="G22" s="471">
        <f>((G19)+(G20))+(G21)</f>
        <v>5000</v>
      </c>
      <c r="H22" s="471">
        <f t="shared" si="2"/>
        <v>-1270</v>
      </c>
      <c r="I22" s="53">
        <f t="shared" si="3"/>
        <v>0.746</v>
      </c>
      <c r="J22" s="471">
        <f>((J19)+(J20))+(J21)</f>
        <v>5295</v>
      </c>
      <c r="K22" s="471">
        <f>((K19)+(K20))+(K21)</f>
        <v>5000</v>
      </c>
      <c r="L22" s="471">
        <f t="shared" si="4"/>
        <v>295</v>
      </c>
      <c r="M22" s="596">
        <f t="shared" si="5"/>
        <v>1.0589999999999999</v>
      </c>
      <c r="N22" s="597">
        <f>((N19)+(N20))+(N21)</f>
        <v>4800</v>
      </c>
      <c r="O22" s="471">
        <f>((O19)+(O20))+(O21)</f>
        <v>5000</v>
      </c>
      <c r="P22" s="471">
        <f t="shared" si="6"/>
        <v>-200</v>
      </c>
      <c r="Q22" s="53">
        <f t="shared" si="7"/>
        <v>0.96</v>
      </c>
      <c r="R22" s="471">
        <f>((R19)+(R20))+(R21)</f>
        <v>4602.5</v>
      </c>
      <c r="S22" s="471">
        <f>((S19)+(S20))+(S21)</f>
        <v>5000</v>
      </c>
      <c r="T22" s="471">
        <f t="shared" si="8"/>
        <v>-397.5</v>
      </c>
      <c r="U22" s="596">
        <f t="shared" si="9"/>
        <v>0.92049999999999998</v>
      </c>
      <c r="V22" s="598">
        <f t="shared" si="10"/>
        <v>24032.5</v>
      </c>
      <c r="W22" s="599">
        <f t="shared" si="10"/>
        <v>25000</v>
      </c>
      <c r="X22" s="599">
        <f t="shared" si="11"/>
        <v>-967.5</v>
      </c>
      <c r="Y22" s="600">
        <f t="shared" si="12"/>
        <v>0.96130000000000004</v>
      </c>
    </row>
    <row r="23" spans="1:25" x14ac:dyDescent="0.25">
      <c r="A23" s="39" t="s">
        <v>918</v>
      </c>
      <c r="B23" s="588">
        <f>648.09</f>
        <v>648.09</v>
      </c>
      <c r="C23" s="588">
        <f>1000</f>
        <v>1000</v>
      </c>
      <c r="D23" s="588">
        <f t="shared" si="0"/>
        <v>-351.90999999999997</v>
      </c>
      <c r="E23" s="636">
        <f t="shared" si="1"/>
        <v>0.64809000000000005</v>
      </c>
      <c r="F23" s="637">
        <f>628.48</f>
        <v>628.48</v>
      </c>
      <c r="G23" s="588">
        <f>1000</f>
        <v>1000</v>
      </c>
      <c r="H23" s="588">
        <f t="shared" si="2"/>
        <v>-371.52</v>
      </c>
      <c r="I23" s="75">
        <f t="shared" si="3"/>
        <v>0.62848000000000004</v>
      </c>
      <c r="J23" s="588">
        <f>629.76</f>
        <v>629.76</v>
      </c>
      <c r="K23" s="588">
        <f>1000</f>
        <v>1000</v>
      </c>
      <c r="L23" s="588">
        <f t="shared" si="4"/>
        <v>-370.24</v>
      </c>
      <c r="M23" s="636">
        <f t="shared" si="5"/>
        <v>0.62975999999999999</v>
      </c>
      <c r="N23" s="637">
        <f>652.09</f>
        <v>652.09</v>
      </c>
      <c r="O23" s="588">
        <f>1000</f>
        <v>1000</v>
      </c>
      <c r="P23" s="588">
        <f t="shared" si="6"/>
        <v>-347.90999999999997</v>
      </c>
      <c r="Q23" s="75">
        <f t="shared" si="7"/>
        <v>0.65209000000000006</v>
      </c>
      <c r="R23" s="588">
        <f>632.37</f>
        <v>632.37</v>
      </c>
      <c r="S23" s="588">
        <f>1000</f>
        <v>1000</v>
      </c>
      <c r="T23" s="588">
        <f t="shared" si="8"/>
        <v>-367.63</v>
      </c>
      <c r="U23" s="636">
        <f t="shared" si="9"/>
        <v>0.63236999999999999</v>
      </c>
      <c r="V23" s="641">
        <f t="shared" si="10"/>
        <v>3190.79</v>
      </c>
      <c r="W23" s="642">
        <f t="shared" si="10"/>
        <v>5000</v>
      </c>
      <c r="X23" s="642">
        <f t="shared" si="11"/>
        <v>-1809.21</v>
      </c>
      <c r="Y23" s="643">
        <f t="shared" si="12"/>
        <v>0.638158</v>
      </c>
    </row>
    <row r="24" spans="1:25" x14ac:dyDescent="0.25">
      <c r="A24" s="39" t="s">
        <v>13</v>
      </c>
      <c r="B24" s="471">
        <f>((((((B8)+(B9))+(B13))+(B17))+(B18))+(B22))+(B23)</f>
        <v>40754.74</v>
      </c>
      <c r="C24" s="471">
        <f>((((((C8)+(C9))+(C13))+(C17))+(C18))+(C22))+(C23)</f>
        <v>32000</v>
      </c>
      <c r="D24" s="471">
        <f t="shared" si="0"/>
        <v>8754.739999999998</v>
      </c>
      <c r="E24" s="596">
        <f t="shared" si="1"/>
        <v>1.2735856249999999</v>
      </c>
      <c r="F24" s="597">
        <f>((((((F8)+(F9))+(F13))+(F17))+(F18))+(F22))+(F23)</f>
        <v>58682.630000000005</v>
      </c>
      <c r="G24" s="471">
        <f>((((((G8)+(G9))+(G13))+(G17))+(G18))+(G22))+(G23)</f>
        <v>61000</v>
      </c>
      <c r="H24" s="471">
        <f t="shared" si="2"/>
        <v>-2317.3699999999953</v>
      </c>
      <c r="I24" s="53">
        <f t="shared" si="3"/>
        <v>0.96201032786885254</v>
      </c>
      <c r="J24" s="471">
        <f>((((((J8)+(J9))+(J13))+(J17))+(J18))+(J22))+(J23)</f>
        <v>61874.78</v>
      </c>
      <c r="K24" s="471">
        <f>((((((K8)+(K9))+(K13))+(K17))+(K18))+(K22))+(K23)</f>
        <v>67000</v>
      </c>
      <c r="L24" s="471">
        <f t="shared" si="4"/>
        <v>-5125.2200000000012</v>
      </c>
      <c r="M24" s="596">
        <f t="shared" si="5"/>
        <v>0.92350417910447757</v>
      </c>
      <c r="N24" s="597">
        <f>((((((N8)+(N9))+(N13))+(N17))+(N18))+(N22))+(N23)</f>
        <v>46952.039999999994</v>
      </c>
      <c r="O24" s="471">
        <f>((((((O8)+(O9))+(O13))+(O17))+(O18))+(O22))+(O23)</f>
        <v>42750</v>
      </c>
      <c r="P24" s="471">
        <f t="shared" si="6"/>
        <v>4202.0399999999936</v>
      </c>
      <c r="Q24" s="53">
        <f t="shared" si="7"/>
        <v>1.0982933333333331</v>
      </c>
      <c r="R24" s="471">
        <f>((((((R8)+(R9))+(R13))+(R17))+(R18))+(R22))+(R23)</f>
        <v>43748.18</v>
      </c>
      <c r="S24" s="471">
        <f>((((((S8)+(S9))+(S13))+(S17))+(S18))+(S22))+(S23)</f>
        <v>43500</v>
      </c>
      <c r="T24" s="471">
        <f t="shared" si="8"/>
        <v>248.18000000000029</v>
      </c>
      <c r="U24" s="596">
        <f t="shared" si="9"/>
        <v>1.0057052873563219</v>
      </c>
      <c r="V24" s="598">
        <f t="shared" si="10"/>
        <v>252012.37</v>
      </c>
      <c r="W24" s="599">
        <f t="shared" si="10"/>
        <v>246250</v>
      </c>
      <c r="X24" s="599">
        <f t="shared" si="11"/>
        <v>5762.3699999999953</v>
      </c>
      <c r="Y24" s="600">
        <f t="shared" si="12"/>
        <v>1.0234004873096447</v>
      </c>
    </row>
    <row r="25" spans="1:25" x14ac:dyDescent="0.25">
      <c r="A25" s="39" t="s">
        <v>961</v>
      </c>
      <c r="B25" s="587"/>
      <c r="C25" s="587"/>
      <c r="D25" s="588">
        <f t="shared" si="0"/>
        <v>0</v>
      </c>
      <c r="E25" s="636" t="str">
        <f t="shared" si="1"/>
        <v/>
      </c>
      <c r="F25" s="634"/>
      <c r="G25" s="587"/>
      <c r="H25" s="588">
        <f t="shared" si="2"/>
        <v>0</v>
      </c>
      <c r="I25" s="75" t="str">
        <f t="shared" si="3"/>
        <v/>
      </c>
      <c r="J25" s="587"/>
      <c r="K25" s="587"/>
      <c r="L25" s="588">
        <f t="shared" si="4"/>
        <v>0</v>
      </c>
      <c r="M25" s="636" t="str">
        <f t="shared" si="5"/>
        <v/>
      </c>
      <c r="N25" s="634"/>
      <c r="O25" s="587"/>
      <c r="P25" s="588">
        <f t="shared" si="6"/>
        <v>0</v>
      </c>
      <c r="Q25" s="75" t="str">
        <f t="shared" si="7"/>
        <v/>
      </c>
      <c r="R25" s="587"/>
      <c r="S25" s="587"/>
      <c r="T25" s="588">
        <f t="shared" si="8"/>
        <v>0</v>
      </c>
      <c r="U25" s="636" t="str">
        <f t="shared" si="9"/>
        <v/>
      </c>
      <c r="V25" s="641">
        <f t="shared" si="10"/>
        <v>0</v>
      </c>
      <c r="W25" s="642">
        <f t="shared" si="10"/>
        <v>0</v>
      </c>
      <c r="X25" s="642">
        <f t="shared" si="11"/>
        <v>0</v>
      </c>
      <c r="Y25" s="643" t="str">
        <f t="shared" si="12"/>
        <v/>
      </c>
    </row>
    <row r="26" spans="1:25" x14ac:dyDescent="0.25">
      <c r="A26" s="39" t="s">
        <v>962</v>
      </c>
      <c r="B26" s="587"/>
      <c r="C26" s="588">
        <f>1250</f>
        <v>1250</v>
      </c>
      <c r="D26" s="588">
        <f t="shared" si="0"/>
        <v>-1250</v>
      </c>
      <c r="E26" s="636">
        <f t="shared" si="1"/>
        <v>0</v>
      </c>
      <c r="F26" s="634"/>
      <c r="G26" s="588">
        <f>1250</f>
        <v>1250</v>
      </c>
      <c r="H26" s="588">
        <f t="shared" si="2"/>
        <v>-1250</v>
      </c>
      <c r="I26" s="75">
        <f t="shared" si="3"/>
        <v>0</v>
      </c>
      <c r="J26" s="587"/>
      <c r="K26" s="588">
        <f>1250</f>
        <v>1250</v>
      </c>
      <c r="L26" s="588">
        <f t="shared" si="4"/>
        <v>-1250</v>
      </c>
      <c r="M26" s="636">
        <f t="shared" si="5"/>
        <v>0</v>
      </c>
      <c r="N26" s="634"/>
      <c r="O26" s="588">
        <f>1250</f>
        <v>1250</v>
      </c>
      <c r="P26" s="588">
        <f t="shared" si="6"/>
        <v>-1250</v>
      </c>
      <c r="Q26" s="75">
        <f t="shared" si="7"/>
        <v>0</v>
      </c>
      <c r="R26" s="587"/>
      <c r="S26" s="588">
        <f>1250</f>
        <v>1250</v>
      </c>
      <c r="T26" s="588">
        <f t="shared" si="8"/>
        <v>-1250</v>
      </c>
      <c r="U26" s="636">
        <f t="shared" si="9"/>
        <v>0</v>
      </c>
      <c r="V26" s="641">
        <f t="shared" si="10"/>
        <v>0</v>
      </c>
      <c r="W26" s="642">
        <f t="shared" si="10"/>
        <v>6250</v>
      </c>
      <c r="X26" s="642">
        <f t="shared" si="11"/>
        <v>-6250</v>
      </c>
      <c r="Y26" s="643">
        <f t="shared" si="12"/>
        <v>0</v>
      </c>
    </row>
    <row r="27" spans="1:25" x14ac:dyDescent="0.25">
      <c r="A27" s="39" t="s">
        <v>963</v>
      </c>
      <c r="B27" s="471">
        <f>(B25)+(B26)</f>
        <v>0</v>
      </c>
      <c r="C27" s="471">
        <f>(C25)+(C26)</f>
        <v>1250</v>
      </c>
      <c r="D27" s="471">
        <f t="shared" si="0"/>
        <v>-1250</v>
      </c>
      <c r="E27" s="596">
        <f t="shared" si="1"/>
        <v>0</v>
      </c>
      <c r="F27" s="597">
        <f>(F25)+(F26)</f>
        <v>0</v>
      </c>
      <c r="G27" s="471">
        <f>(G25)+(G26)</f>
        <v>1250</v>
      </c>
      <c r="H27" s="471">
        <f t="shared" si="2"/>
        <v>-1250</v>
      </c>
      <c r="I27" s="53">
        <f t="shared" si="3"/>
        <v>0</v>
      </c>
      <c r="J27" s="471">
        <f>(J25)+(J26)</f>
        <v>0</v>
      </c>
      <c r="K27" s="471">
        <f>(K25)+(K26)</f>
        <v>1250</v>
      </c>
      <c r="L27" s="471">
        <f t="shared" si="4"/>
        <v>-1250</v>
      </c>
      <c r="M27" s="596">
        <f t="shared" si="5"/>
        <v>0</v>
      </c>
      <c r="N27" s="597">
        <f>(N25)+(N26)</f>
        <v>0</v>
      </c>
      <c r="O27" s="471">
        <f>(O25)+(O26)</f>
        <v>1250</v>
      </c>
      <c r="P27" s="471">
        <f t="shared" si="6"/>
        <v>-1250</v>
      </c>
      <c r="Q27" s="53">
        <f t="shared" si="7"/>
        <v>0</v>
      </c>
      <c r="R27" s="471">
        <f>(R25)+(R26)</f>
        <v>0</v>
      </c>
      <c r="S27" s="471">
        <f>(S25)+(S26)</f>
        <v>1250</v>
      </c>
      <c r="T27" s="471">
        <f t="shared" si="8"/>
        <v>-1250</v>
      </c>
      <c r="U27" s="596">
        <f t="shared" si="9"/>
        <v>0</v>
      </c>
      <c r="V27" s="598">
        <f t="shared" si="10"/>
        <v>0</v>
      </c>
      <c r="W27" s="599">
        <f t="shared" si="10"/>
        <v>6250</v>
      </c>
      <c r="X27" s="599">
        <f t="shared" si="11"/>
        <v>-6250</v>
      </c>
      <c r="Y27" s="600">
        <f t="shared" si="12"/>
        <v>0</v>
      </c>
    </row>
    <row r="28" spans="1:25" x14ac:dyDescent="0.25">
      <c r="A28" s="39" t="s">
        <v>14</v>
      </c>
      <c r="B28" s="471">
        <f>(B24)+(B27)</f>
        <v>40754.74</v>
      </c>
      <c r="C28" s="471">
        <f>(C24)+(C27)</f>
        <v>33250</v>
      </c>
      <c r="D28" s="471">
        <f t="shared" si="0"/>
        <v>7504.739999999998</v>
      </c>
      <c r="E28" s="596">
        <f t="shared" si="1"/>
        <v>1.2257064661654136</v>
      </c>
      <c r="F28" s="597">
        <f>(F24)+(F27)</f>
        <v>58682.630000000005</v>
      </c>
      <c r="G28" s="471">
        <f>(G24)+(G27)</f>
        <v>62250</v>
      </c>
      <c r="H28" s="471">
        <f t="shared" si="2"/>
        <v>-3567.3699999999953</v>
      </c>
      <c r="I28" s="53">
        <f t="shared" si="3"/>
        <v>0.94269285140562253</v>
      </c>
      <c r="J28" s="471">
        <f>(J24)+(J27)</f>
        <v>61874.78</v>
      </c>
      <c r="K28" s="471">
        <f>(K24)+(K27)</f>
        <v>68250</v>
      </c>
      <c r="L28" s="471">
        <f t="shared" si="4"/>
        <v>-6375.2200000000012</v>
      </c>
      <c r="M28" s="596">
        <f t="shared" si="5"/>
        <v>0.90659018315018314</v>
      </c>
      <c r="N28" s="597">
        <f>(N24)+(N27)</f>
        <v>46952.039999999994</v>
      </c>
      <c r="O28" s="471">
        <f>(O24)+(O27)</f>
        <v>44000</v>
      </c>
      <c r="P28" s="471">
        <f t="shared" si="6"/>
        <v>2952.0399999999936</v>
      </c>
      <c r="Q28" s="53">
        <f t="shared" si="7"/>
        <v>1.0670918181818181</v>
      </c>
      <c r="R28" s="471">
        <f>(R24)+(R27)</f>
        <v>43748.18</v>
      </c>
      <c r="S28" s="471">
        <f>(S24)+(S27)</f>
        <v>44750</v>
      </c>
      <c r="T28" s="471">
        <f t="shared" si="8"/>
        <v>-1001.8199999999997</v>
      </c>
      <c r="U28" s="596">
        <f t="shared" si="9"/>
        <v>0.97761296089385474</v>
      </c>
      <c r="V28" s="598">
        <f t="shared" si="10"/>
        <v>252012.37</v>
      </c>
      <c r="W28" s="599">
        <f t="shared" si="10"/>
        <v>252500</v>
      </c>
      <c r="X28" s="599">
        <f t="shared" si="11"/>
        <v>-487.63000000000466</v>
      </c>
      <c r="Y28" s="600">
        <f t="shared" si="12"/>
        <v>0.99806879207920796</v>
      </c>
    </row>
    <row r="29" spans="1:25" x14ac:dyDescent="0.25">
      <c r="A29" s="39" t="s">
        <v>15</v>
      </c>
      <c r="B29" s="471">
        <f>(B28)-(0)</f>
        <v>40754.74</v>
      </c>
      <c r="C29" s="471">
        <f>(C28)-(0)</f>
        <v>33250</v>
      </c>
      <c r="D29" s="471">
        <f t="shared" si="0"/>
        <v>7504.739999999998</v>
      </c>
      <c r="E29" s="596">
        <f t="shared" si="1"/>
        <v>1.2257064661654136</v>
      </c>
      <c r="F29" s="597">
        <f>(F28)-(0)</f>
        <v>58682.630000000005</v>
      </c>
      <c r="G29" s="471">
        <f>(G28)-(0)</f>
        <v>62250</v>
      </c>
      <c r="H29" s="471">
        <f t="shared" si="2"/>
        <v>-3567.3699999999953</v>
      </c>
      <c r="I29" s="53">
        <f t="shared" si="3"/>
        <v>0.94269285140562253</v>
      </c>
      <c r="J29" s="471">
        <f>(J28)-(0)</f>
        <v>61874.78</v>
      </c>
      <c r="K29" s="471">
        <f>(K28)-(0)</f>
        <v>68250</v>
      </c>
      <c r="L29" s="471">
        <f t="shared" si="4"/>
        <v>-6375.2200000000012</v>
      </c>
      <c r="M29" s="596">
        <f t="shared" si="5"/>
        <v>0.90659018315018314</v>
      </c>
      <c r="N29" s="597">
        <f>(N28)-(0)</f>
        <v>46952.039999999994</v>
      </c>
      <c r="O29" s="471">
        <f>(O28)-(0)</f>
        <v>44000</v>
      </c>
      <c r="P29" s="471">
        <f t="shared" si="6"/>
        <v>2952.0399999999936</v>
      </c>
      <c r="Q29" s="53">
        <f t="shared" si="7"/>
        <v>1.0670918181818181</v>
      </c>
      <c r="R29" s="471">
        <f>(R28)-(0)</f>
        <v>43748.18</v>
      </c>
      <c r="S29" s="471">
        <f>(S28)-(0)</f>
        <v>44750</v>
      </c>
      <c r="T29" s="471">
        <f t="shared" si="8"/>
        <v>-1001.8199999999997</v>
      </c>
      <c r="U29" s="596">
        <f t="shared" si="9"/>
        <v>0.97761296089385474</v>
      </c>
      <c r="V29" s="598">
        <f t="shared" si="10"/>
        <v>252012.37</v>
      </c>
      <c r="W29" s="599">
        <f t="shared" si="10"/>
        <v>252500</v>
      </c>
      <c r="X29" s="599">
        <f t="shared" si="11"/>
        <v>-487.63000000000466</v>
      </c>
      <c r="Y29" s="600">
        <f t="shared" si="12"/>
        <v>0.99806879207920796</v>
      </c>
    </row>
    <row r="30" spans="1:25" x14ac:dyDescent="0.25">
      <c r="A30" s="39" t="s">
        <v>16</v>
      </c>
      <c r="B30" s="587"/>
      <c r="C30" s="587"/>
      <c r="D30" s="587"/>
      <c r="E30" s="587"/>
      <c r="F30" s="634"/>
      <c r="G30" s="587"/>
      <c r="H30" s="587"/>
      <c r="I30" s="635"/>
      <c r="J30" s="587"/>
      <c r="K30" s="587"/>
      <c r="L30" s="587"/>
      <c r="M30" s="587"/>
      <c r="N30" s="634"/>
      <c r="O30" s="587"/>
      <c r="P30" s="587"/>
      <c r="Q30" s="635"/>
      <c r="R30" s="587"/>
      <c r="S30" s="587"/>
      <c r="T30" s="587"/>
      <c r="U30" s="587"/>
      <c r="V30" s="638"/>
      <c r="W30" s="639"/>
      <c r="X30" s="639"/>
      <c r="Y30" s="640"/>
    </row>
    <row r="31" spans="1:25" x14ac:dyDescent="0.25">
      <c r="A31" s="39" t="s">
        <v>17</v>
      </c>
      <c r="B31" s="587"/>
      <c r="C31" s="587"/>
      <c r="D31" s="588">
        <f t="shared" ref="D31:D75" si="13">(B31)-(C31)</f>
        <v>0</v>
      </c>
      <c r="E31" s="636" t="str">
        <f t="shared" ref="E31:E75" si="14">IF(C31=0,"",(B31)/(C31))</f>
        <v/>
      </c>
      <c r="F31" s="634"/>
      <c r="G31" s="587"/>
      <c r="H31" s="588">
        <f t="shared" ref="H31:H75" si="15">(F31)-(G31)</f>
        <v>0</v>
      </c>
      <c r="I31" s="75" t="str">
        <f t="shared" ref="I31:I75" si="16">IF(G31=0,"",(F31)/(G31))</f>
        <v/>
      </c>
      <c r="J31" s="587"/>
      <c r="K31" s="587"/>
      <c r="L31" s="588">
        <f t="shared" ref="L31:L75" si="17">(J31)-(K31)</f>
        <v>0</v>
      </c>
      <c r="M31" s="636" t="str">
        <f t="shared" ref="M31:M75" si="18">IF(K31=0,"",(J31)/(K31))</f>
        <v/>
      </c>
      <c r="N31" s="634"/>
      <c r="O31" s="587"/>
      <c r="P31" s="588">
        <f t="shared" ref="P31:P75" si="19">(N31)-(O31)</f>
        <v>0</v>
      </c>
      <c r="Q31" s="75" t="str">
        <f t="shared" ref="Q31:Q75" si="20">IF(O31=0,"",(N31)/(O31))</f>
        <v/>
      </c>
      <c r="R31" s="587"/>
      <c r="S31" s="587"/>
      <c r="T31" s="588">
        <f t="shared" ref="T31:T75" si="21">(R31)-(S31)</f>
        <v>0</v>
      </c>
      <c r="U31" s="636" t="str">
        <f t="shared" ref="U31:U75" si="22">IF(S31=0,"",(R31)/(S31))</f>
        <v/>
      </c>
      <c r="V31" s="641">
        <f t="shared" ref="V31:W75" si="23">((((B31)+(F31))+(J31))+(N31))+(R31)</f>
        <v>0</v>
      </c>
      <c r="W31" s="642">
        <f t="shared" si="23"/>
        <v>0</v>
      </c>
      <c r="X31" s="642">
        <f t="shared" ref="X31:X75" si="24">(V31)-(W31)</f>
        <v>0</v>
      </c>
      <c r="Y31" s="643" t="str">
        <f t="shared" ref="Y31:Y75" si="25">IF(W31=0,"",(V31)/(W31))</f>
        <v/>
      </c>
    </row>
    <row r="32" spans="1:25" x14ac:dyDescent="0.25">
      <c r="A32" s="39" t="s">
        <v>18</v>
      </c>
      <c r="B32" s="587"/>
      <c r="C32" s="587"/>
      <c r="D32" s="588">
        <f t="shared" si="13"/>
        <v>0</v>
      </c>
      <c r="E32" s="636" t="str">
        <f t="shared" si="14"/>
        <v/>
      </c>
      <c r="F32" s="634"/>
      <c r="G32" s="587"/>
      <c r="H32" s="588">
        <f t="shared" si="15"/>
        <v>0</v>
      </c>
      <c r="I32" s="75" t="str">
        <f t="shared" si="16"/>
        <v/>
      </c>
      <c r="J32" s="587"/>
      <c r="K32" s="587"/>
      <c r="L32" s="588">
        <f t="shared" si="17"/>
        <v>0</v>
      </c>
      <c r="M32" s="636" t="str">
        <f t="shared" si="18"/>
        <v/>
      </c>
      <c r="N32" s="634"/>
      <c r="O32" s="587"/>
      <c r="P32" s="588">
        <f t="shared" si="19"/>
        <v>0</v>
      </c>
      <c r="Q32" s="75" t="str">
        <f t="shared" si="20"/>
        <v/>
      </c>
      <c r="R32" s="587"/>
      <c r="S32" s="587"/>
      <c r="T32" s="588">
        <f t="shared" si="21"/>
        <v>0</v>
      </c>
      <c r="U32" s="636" t="str">
        <f t="shared" si="22"/>
        <v/>
      </c>
      <c r="V32" s="641">
        <f t="shared" si="23"/>
        <v>0</v>
      </c>
      <c r="W32" s="642">
        <f t="shared" si="23"/>
        <v>0</v>
      </c>
      <c r="X32" s="642">
        <f t="shared" si="24"/>
        <v>0</v>
      </c>
      <c r="Y32" s="643" t="str">
        <f t="shared" si="25"/>
        <v/>
      </c>
    </row>
    <row r="33" spans="1:25" x14ac:dyDescent="0.25">
      <c r="A33" s="39" t="s">
        <v>19</v>
      </c>
      <c r="B33" s="588">
        <f>171.58</f>
        <v>171.58</v>
      </c>
      <c r="C33" s="588">
        <f>175</f>
        <v>175</v>
      </c>
      <c r="D33" s="588">
        <f t="shared" si="13"/>
        <v>-3.4199999999999875</v>
      </c>
      <c r="E33" s="636">
        <f t="shared" si="14"/>
        <v>0.98045714285714292</v>
      </c>
      <c r="F33" s="637">
        <f>171.58</f>
        <v>171.58</v>
      </c>
      <c r="G33" s="588">
        <f>175</f>
        <v>175</v>
      </c>
      <c r="H33" s="588">
        <f t="shared" si="15"/>
        <v>-3.4199999999999875</v>
      </c>
      <c r="I33" s="75">
        <f t="shared" si="16"/>
        <v>0.98045714285714292</v>
      </c>
      <c r="J33" s="588">
        <f>171.58</f>
        <v>171.58</v>
      </c>
      <c r="K33" s="588">
        <f>175</f>
        <v>175</v>
      </c>
      <c r="L33" s="588">
        <f t="shared" si="17"/>
        <v>-3.4199999999999875</v>
      </c>
      <c r="M33" s="636">
        <f t="shared" si="18"/>
        <v>0.98045714285714292</v>
      </c>
      <c r="N33" s="637">
        <f>171.58</f>
        <v>171.58</v>
      </c>
      <c r="O33" s="588">
        <f>175</f>
        <v>175</v>
      </c>
      <c r="P33" s="588">
        <f t="shared" si="19"/>
        <v>-3.4199999999999875</v>
      </c>
      <c r="Q33" s="75">
        <f t="shared" si="20"/>
        <v>0.98045714285714292</v>
      </c>
      <c r="R33" s="588">
        <f>171.58</f>
        <v>171.58</v>
      </c>
      <c r="S33" s="588">
        <f>175</f>
        <v>175</v>
      </c>
      <c r="T33" s="588">
        <f t="shared" si="21"/>
        <v>-3.4199999999999875</v>
      </c>
      <c r="U33" s="636">
        <f t="shared" si="22"/>
        <v>0.98045714285714292</v>
      </c>
      <c r="V33" s="641">
        <f t="shared" si="23"/>
        <v>857.90000000000009</v>
      </c>
      <c r="W33" s="642">
        <f t="shared" si="23"/>
        <v>875</v>
      </c>
      <c r="X33" s="642">
        <f t="shared" si="24"/>
        <v>-17.099999999999909</v>
      </c>
      <c r="Y33" s="643">
        <f t="shared" si="25"/>
        <v>0.98045714285714292</v>
      </c>
    </row>
    <row r="34" spans="1:25" x14ac:dyDescent="0.25">
      <c r="A34" s="39" t="s">
        <v>20</v>
      </c>
      <c r="B34" s="588">
        <f>332</f>
        <v>332</v>
      </c>
      <c r="C34" s="588">
        <f>300</f>
        <v>300</v>
      </c>
      <c r="D34" s="588">
        <f t="shared" si="13"/>
        <v>32</v>
      </c>
      <c r="E34" s="636">
        <f t="shared" si="14"/>
        <v>1.1066666666666667</v>
      </c>
      <c r="F34" s="637">
        <f>332</f>
        <v>332</v>
      </c>
      <c r="G34" s="588">
        <f>300</f>
        <v>300</v>
      </c>
      <c r="H34" s="588">
        <f t="shared" si="15"/>
        <v>32</v>
      </c>
      <c r="I34" s="75">
        <f t="shared" si="16"/>
        <v>1.1066666666666667</v>
      </c>
      <c r="J34" s="588">
        <f>332</f>
        <v>332</v>
      </c>
      <c r="K34" s="588">
        <f>300</f>
        <v>300</v>
      </c>
      <c r="L34" s="588">
        <f t="shared" si="17"/>
        <v>32</v>
      </c>
      <c r="M34" s="636">
        <f t="shared" si="18"/>
        <v>1.1066666666666667</v>
      </c>
      <c r="N34" s="637">
        <f>332</f>
        <v>332</v>
      </c>
      <c r="O34" s="588">
        <f>300</f>
        <v>300</v>
      </c>
      <c r="P34" s="588">
        <f t="shared" si="19"/>
        <v>32</v>
      </c>
      <c r="Q34" s="75">
        <f t="shared" si="20"/>
        <v>1.1066666666666667</v>
      </c>
      <c r="R34" s="588">
        <f>332</f>
        <v>332</v>
      </c>
      <c r="S34" s="588">
        <f>300</f>
        <v>300</v>
      </c>
      <c r="T34" s="588">
        <f t="shared" si="21"/>
        <v>32</v>
      </c>
      <c r="U34" s="636">
        <f t="shared" si="22"/>
        <v>1.1066666666666667</v>
      </c>
      <c r="V34" s="641">
        <f t="shared" si="23"/>
        <v>1660</v>
      </c>
      <c r="W34" s="642">
        <f t="shared" si="23"/>
        <v>1500</v>
      </c>
      <c r="X34" s="642">
        <f t="shared" si="24"/>
        <v>160</v>
      </c>
      <c r="Y34" s="643">
        <f t="shared" si="25"/>
        <v>1.1066666666666667</v>
      </c>
    </row>
    <row r="35" spans="1:25" x14ac:dyDescent="0.25">
      <c r="A35" s="39" t="s">
        <v>21</v>
      </c>
      <c r="B35" s="588">
        <f>71.07</f>
        <v>71.069999999999993</v>
      </c>
      <c r="C35" s="588">
        <f>100</f>
        <v>100</v>
      </c>
      <c r="D35" s="588">
        <f t="shared" si="13"/>
        <v>-28.930000000000007</v>
      </c>
      <c r="E35" s="636">
        <f t="shared" si="14"/>
        <v>0.71069999999999989</v>
      </c>
      <c r="F35" s="637">
        <f>1119.48</f>
        <v>1119.48</v>
      </c>
      <c r="G35" s="588">
        <f>100</f>
        <v>100</v>
      </c>
      <c r="H35" s="588">
        <f t="shared" si="15"/>
        <v>1019.48</v>
      </c>
      <c r="I35" s="75">
        <f t="shared" si="16"/>
        <v>11.194800000000001</v>
      </c>
      <c r="J35" s="588">
        <f>69.24</f>
        <v>69.239999999999995</v>
      </c>
      <c r="K35" s="588">
        <f>100</f>
        <v>100</v>
      </c>
      <c r="L35" s="588">
        <f t="shared" si="17"/>
        <v>-30.760000000000005</v>
      </c>
      <c r="M35" s="636">
        <f t="shared" si="18"/>
        <v>0.6923999999999999</v>
      </c>
      <c r="N35" s="637">
        <f>69.24</f>
        <v>69.239999999999995</v>
      </c>
      <c r="O35" s="588">
        <f>100</f>
        <v>100</v>
      </c>
      <c r="P35" s="588">
        <f t="shared" si="19"/>
        <v>-30.760000000000005</v>
      </c>
      <c r="Q35" s="75">
        <f t="shared" si="20"/>
        <v>0.6923999999999999</v>
      </c>
      <c r="R35" s="588">
        <f>70.16</f>
        <v>70.16</v>
      </c>
      <c r="S35" s="588">
        <f>100</f>
        <v>100</v>
      </c>
      <c r="T35" s="588">
        <f t="shared" si="21"/>
        <v>-29.840000000000003</v>
      </c>
      <c r="U35" s="636">
        <f t="shared" si="22"/>
        <v>0.7016</v>
      </c>
      <c r="V35" s="641">
        <f t="shared" si="23"/>
        <v>1399.19</v>
      </c>
      <c r="W35" s="642">
        <f t="shared" si="23"/>
        <v>500</v>
      </c>
      <c r="X35" s="642">
        <f t="shared" si="24"/>
        <v>899.19</v>
      </c>
      <c r="Y35" s="643">
        <f t="shared" si="25"/>
        <v>2.7983800000000003</v>
      </c>
    </row>
    <row r="36" spans="1:25" x14ac:dyDescent="0.25">
      <c r="A36" s="39" t="s">
        <v>22</v>
      </c>
      <c r="B36" s="471">
        <f>(((B32)+(B33))+(B34))+(B35)</f>
        <v>574.65000000000009</v>
      </c>
      <c r="C36" s="471">
        <f>(((C32)+(C33))+(C34))+(C35)</f>
        <v>575</v>
      </c>
      <c r="D36" s="471">
        <f t="shared" si="13"/>
        <v>-0.34999999999990905</v>
      </c>
      <c r="E36" s="596">
        <f t="shared" si="14"/>
        <v>0.99939130434782619</v>
      </c>
      <c r="F36" s="597">
        <f>(((F32)+(F33))+(F34))+(F35)</f>
        <v>1623.06</v>
      </c>
      <c r="G36" s="471">
        <f>(((G32)+(G33))+(G34))+(G35)</f>
        <v>575</v>
      </c>
      <c r="H36" s="471">
        <f t="shared" si="15"/>
        <v>1048.06</v>
      </c>
      <c r="I36" s="53">
        <f t="shared" si="16"/>
        <v>2.8227130434782608</v>
      </c>
      <c r="J36" s="471">
        <f>(((J32)+(J33))+(J34))+(J35)</f>
        <v>572.82000000000005</v>
      </c>
      <c r="K36" s="471">
        <f>(((K32)+(K33))+(K34))+(K35)</f>
        <v>575</v>
      </c>
      <c r="L36" s="471">
        <f t="shared" si="17"/>
        <v>-2.17999999999995</v>
      </c>
      <c r="M36" s="596">
        <f t="shared" si="18"/>
        <v>0.99620869565217396</v>
      </c>
      <c r="N36" s="597">
        <f>(((N32)+(N33))+(N34))+(N35)</f>
        <v>572.82000000000005</v>
      </c>
      <c r="O36" s="471">
        <f>(((O32)+(O33))+(O34))+(O35)</f>
        <v>575</v>
      </c>
      <c r="P36" s="471">
        <f t="shared" si="19"/>
        <v>-2.17999999999995</v>
      </c>
      <c r="Q36" s="53">
        <f t="shared" si="20"/>
        <v>0.99620869565217396</v>
      </c>
      <c r="R36" s="471">
        <f>(((R32)+(R33))+(R34))+(R35)</f>
        <v>573.74</v>
      </c>
      <c r="S36" s="471">
        <f>(((S32)+(S33))+(S34))+(S35)</f>
        <v>575</v>
      </c>
      <c r="T36" s="471">
        <f t="shared" si="21"/>
        <v>-1.2599999999999909</v>
      </c>
      <c r="U36" s="596">
        <f t="shared" si="22"/>
        <v>0.99780869565217389</v>
      </c>
      <c r="V36" s="598">
        <f t="shared" si="23"/>
        <v>3917.09</v>
      </c>
      <c r="W36" s="599">
        <f t="shared" si="23"/>
        <v>2875</v>
      </c>
      <c r="X36" s="599">
        <f t="shared" si="24"/>
        <v>1042.0900000000001</v>
      </c>
      <c r="Y36" s="600">
        <f t="shared" si="25"/>
        <v>1.3624660869565217</v>
      </c>
    </row>
    <row r="37" spans="1:25" x14ac:dyDescent="0.25">
      <c r="A37" s="39" t="s">
        <v>23</v>
      </c>
      <c r="B37" s="588">
        <f>905.85</f>
        <v>905.85</v>
      </c>
      <c r="C37" s="588">
        <f>1500</f>
        <v>1500</v>
      </c>
      <c r="D37" s="588">
        <f t="shared" si="13"/>
        <v>-594.15</v>
      </c>
      <c r="E37" s="636">
        <f t="shared" si="14"/>
        <v>0.60389999999999999</v>
      </c>
      <c r="F37" s="637">
        <f>1698.93</f>
        <v>1698.93</v>
      </c>
      <c r="G37" s="588">
        <f>1500</f>
        <v>1500</v>
      </c>
      <c r="H37" s="588">
        <f t="shared" si="15"/>
        <v>198.93000000000006</v>
      </c>
      <c r="I37" s="75">
        <f t="shared" si="16"/>
        <v>1.13262</v>
      </c>
      <c r="J37" s="588">
        <f>1169.16</f>
        <v>1169.1600000000001</v>
      </c>
      <c r="K37" s="588">
        <f>1500</f>
        <v>1500</v>
      </c>
      <c r="L37" s="588">
        <f t="shared" si="17"/>
        <v>-330.83999999999992</v>
      </c>
      <c r="M37" s="636">
        <f t="shared" si="18"/>
        <v>0.77944000000000002</v>
      </c>
      <c r="N37" s="637">
        <f>1172.7</f>
        <v>1172.7</v>
      </c>
      <c r="O37" s="588">
        <f>1500</f>
        <v>1500</v>
      </c>
      <c r="P37" s="588">
        <f t="shared" si="19"/>
        <v>-327.29999999999995</v>
      </c>
      <c r="Q37" s="75">
        <f t="shared" si="20"/>
        <v>0.78180000000000005</v>
      </c>
      <c r="R37" s="588">
        <f>1433.9</f>
        <v>1433.9</v>
      </c>
      <c r="S37" s="588">
        <f>1500</f>
        <v>1500</v>
      </c>
      <c r="T37" s="588">
        <f t="shared" si="21"/>
        <v>-66.099999999999909</v>
      </c>
      <c r="U37" s="636">
        <f t="shared" si="22"/>
        <v>0.95593333333333341</v>
      </c>
      <c r="V37" s="641">
        <f t="shared" si="23"/>
        <v>6380.5400000000009</v>
      </c>
      <c r="W37" s="642">
        <f t="shared" si="23"/>
        <v>7500</v>
      </c>
      <c r="X37" s="642">
        <f t="shared" si="24"/>
        <v>-1119.4599999999991</v>
      </c>
      <c r="Y37" s="643">
        <f t="shared" si="25"/>
        <v>0.85073866666666675</v>
      </c>
    </row>
    <row r="38" spans="1:25" x14ac:dyDescent="0.25">
      <c r="A38" s="39" t="s">
        <v>1450</v>
      </c>
      <c r="B38" s="587"/>
      <c r="C38" s="588">
        <f>1166.67</f>
        <v>1166.67</v>
      </c>
      <c r="D38" s="588">
        <f t="shared" si="13"/>
        <v>-1166.67</v>
      </c>
      <c r="E38" s="636">
        <f t="shared" si="14"/>
        <v>0</v>
      </c>
      <c r="F38" s="634"/>
      <c r="G38" s="588">
        <f>1166.67</f>
        <v>1166.67</v>
      </c>
      <c r="H38" s="588">
        <f t="shared" si="15"/>
        <v>-1166.67</v>
      </c>
      <c r="I38" s="75">
        <f t="shared" si="16"/>
        <v>0</v>
      </c>
      <c r="J38" s="587"/>
      <c r="K38" s="588">
        <f>1166.67</f>
        <v>1166.67</v>
      </c>
      <c r="L38" s="588">
        <f t="shared" si="17"/>
        <v>-1166.67</v>
      </c>
      <c r="M38" s="636">
        <f t="shared" si="18"/>
        <v>0</v>
      </c>
      <c r="N38" s="634"/>
      <c r="O38" s="588">
        <f>1166.67</f>
        <v>1166.67</v>
      </c>
      <c r="P38" s="588">
        <f t="shared" si="19"/>
        <v>-1166.67</v>
      </c>
      <c r="Q38" s="75">
        <f t="shared" si="20"/>
        <v>0</v>
      </c>
      <c r="R38" s="587"/>
      <c r="S38" s="588">
        <f>1166.67</f>
        <v>1166.67</v>
      </c>
      <c r="T38" s="588">
        <f t="shared" si="21"/>
        <v>-1166.67</v>
      </c>
      <c r="U38" s="636">
        <f t="shared" si="22"/>
        <v>0</v>
      </c>
      <c r="V38" s="641">
        <f t="shared" si="23"/>
        <v>0</v>
      </c>
      <c r="W38" s="642">
        <f t="shared" si="23"/>
        <v>5833.35</v>
      </c>
      <c r="X38" s="642">
        <f t="shared" si="24"/>
        <v>-5833.35</v>
      </c>
      <c r="Y38" s="643">
        <f t="shared" si="25"/>
        <v>0</v>
      </c>
    </row>
    <row r="39" spans="1:25" x14ac:dyDescent="0.25">
      <c r="A39" s="39" t="s">
        <v>24</v>
      </c>
      <c r="B39" s="587"/>
      <c r="C39" s="588">
        <f>1250</f>
        <v>1250</v>
      </c>
      <c r="D39" s="588">
        <f t="shared" si="13"/>
        <v>-1250</v>
      </c>
      <c r="E39" s="636">
        <f t="shared" si="14"/>
        <v>0</v>
      </c>
      <c r="F39" s="634"/>
      <c r="G39" s="588">
        <f>1250</f>
        <v>1250</v>
      </c>
      <c r="H39" s="588">
        <f t="shared" si="15"/>
        <v>-1250</v>
      </c>
      <c r="I39" s="75">
        <f t="shared" si="16"/>
        <v>0</v>
      </c>
      <c r="J39" s="587"/>
      <c r="K39" s="588">
        <f>1250</f>
        <v>1250</v>
      </c>
      <c r="L39" s="588">
        <f t="shared" si="17"/>
        <v>-1250</v>
      </c>
      <c r="M39" s="636">
        <f t="shared" si="18"/>
        <v>0</v>
      </c>
      <c r="N39" s="634"/>
      <c r="O39" s="588">
        <f>1250</f>
        <v>1250</v>
      </c>
      <c r="P39" s="588">
        <f t="shared" si="19"/>
        <v>-1250</v>
      </c>
      <c r="Q39" s="75">
        <f t="shared" si="20"/>
        <v>0</v>
      </c>
      <c r="R39" s="588">
        <f>58.29</f>
        <v>58.29</v>
      </c>
      <c r="S39" s="588">
        <f>1250</f>
        <v>1250</v>
      </c>
      <c r="T39" s="588">
        <f t="shared" si="21"/>
        <v>-1191.71</v>
      </c>
      <c r="U39" s="636">
        <f t="shared" si="22"/>
        <v>4.6632E-2</v>
      </c>
      <c r="V39" s="641">
        <f t="shared" si="23"/>
        <v>58.29</v>
      </c>
      <c r="W39" s="642">
        <f t="shared" si="23"/>
        <v>6250</v>
      </c>
      <c r="X39" s="642">
        <f t="shared" si="24"/>
        <v>-6191.71</v>
      </c>
      <c r="Y39" s="643">
        <f t="shared" si="25"/>
        <v>9.3264000000000003E-3</v>
      </c>
    </row>
    <row r="40" spans="1:25" x14ac:dyDescent="0.25">
      <c r="A40" s="39" t="s">
        <v>1537</v>
      </c>
      <c r="B40" s="587"/>
      <c r="C40" s="587"/>
      <c r="D40" s="588">
        <f t="shared" si="13"/>
        <v>0</v>
      </c>
      <c r="E40" s="636" t="str">
        <f t="shared" si="14"/>
        <v/>
      </c>
      <c r="F40" s="634"/>
      <c r="G40" s="587"/>
      <c r="H40" s="588">
        <f t="shared" si="15"/>
        <v>0</v>
      </c>
      <c r="I40" s="75" t="str">
        <f t="shared" si="16"/>
        <v/>
      </c>
      <c r="J40" s="588">
        <f>0</f>
        <v>0</v>
      </c>
      <c r="K40" s="587"/>
      <c r="L40" s="588">
        <f t="shared" si="17"/>
        <v>0</v>
      </c>
      <c r="M40" s="636" t="str">
        <f t="shared" si="18"/>
        <v/>
      </c>
      <c r="N40" s="634"/>
      <c r="O40" s="587"/>
      <c r="P40" s="588">
        <f t="shared" si="19"/>
        <v>0</v>
      </c>
      <c r="Q40" s="75" t="str">
        <f t="shared" si="20"/>
        <v/>
      </c>
      <c r="R40" s="587"/>
      <c r="S40" s="587"/>
      <c r="T40" s="588">
        <f t="shared" si="21"/>
        <v>0</v>
      </c>
      <c r="U40" s="636" t="str">
        <f t="shared" si="22"/>
        <v/>
      </c>
      <c r="V40" s="641">
        <f t="shared" si="23"/>
        <v>0</v>
      </c>
      <c r="W40" s="642">
        <f t="shared" si="23"/>
        <v>0</v>
      </c>
      <c r="X40" s="642">
        <f t="shared" si="24"/>
        <v>0</v>
      </c>
      <c r="Y40" s="643" t="str">
        <f t="shared" si="25"/>
        <v/>
      </c>
    </row>
    <row r="41" spans="1:25" x14ac:dyDescent="0.25">
      <c r="A41" s="39" t="s">
        <v>25</v>
      </c>
      <c r="B41" s="588">
        <f>319.16</f>
        <v>319.16000000000003</v>
      </c>
      <c r="C41" s="588">
        <f>600</f>
        <v>600</v>
      </c>
      <c r="D41" s="588">
        <f t="shared" si="13"/>
        <v>-280.83999999999997</v>
      </c>
      <c r="E41" s="636">
        <f t="shared" si="14"/>
        <v>0.53193333333333337</v>
      </c>
      <c r="F41" s="637">
        <f>873.25</f>
        <v>873.25</v>
      </c>
      <c r="G41" s="588">
        <f>600</f>
        <v>600</v>
      </c>
      <c r="H41" s="588">
        <f t="shared" si="15"/>
        <v>273.25</v>
      </c>
      <c r="I41" s="75">
        <f t="shared" si="16"/>
        <v>1.4554166666666666</v>
      </c>
      <c r="J41" s="588">
        <f>559.8</f>
        <v>559.79999999999995</v>
      </c>
      <c r="K41" s="588">
        <f>600</f>
        <v>600</v>
      </c>
      <c r="L41" s="588">
        <f t="shared" si="17"/>
        <v>-40.200000000000045</v>
      </c>
      <c r="M41" s="636">
        <f t="shared" si="18"/>
        <v>0.93299999999999994</v>
      </c>
      <c r="N41" s="637">
        <f>277.09</f>
        <v>277.08999999999997</v>
      </c>
      <c r="O41" s="588">
        <f>600</f>
        <v>600</v>
      </c>
      <c r="P41" s="588">
        <f t="shared" si="19"/>
        <v>-322.91000000000003</v>
      </c>
      <c r="Q41" s="75">
        <f t="shared" si="20"/>
        <v>0.4618166666666666</v>
      </c>
      <c r="R41" s="588">
        <f>354.96</f>
        <v>354.96</v>
      </c>
      <c r="S41" s="588">
        <f>600</f>
        <v>600</v>
      </c>
      <c r="T41" s="588">
        <f t="shared" si="21"/>
        <v>-245.04000000000002</v>
      </c>
      <c r="U41" s="636">
        <f t="shared" si="22"/>
        <v>0.59160000000000001</v>
      </c>
      <c r="V41" s="641">
        <f t="shared" si="23"/>
        <v>2384.2599999999998</v>
      </c>
      <c r="W41" s="642">
        <f t="shared" si="23"/>
        <v>3000</v>
      </c>
      <c r="X41" s="642">
        <f t="shared" si="24"/>
        <v>-615.74000000000024</v>
      </c>
      <c r="Y41" s="643">
        <f t="shared" si="25"/>
        <v>0.7947533333333332</v>
      </c>
    </row>
    <row r="42" spans="1:25" x14ac:dyDescent="0.25">
      <c r="A42" s="39" t="s">
        <v>26</v>
      </c>
      <c r="B42" s="588">
        <f>1358.44</f>
        <v>1358.44</v>
      </c>
      <c r="C42" s="588">
        <f>100</f>
        <v>100</v>
      </c>
      <c r="D42" s="588">
        <f t="shared" si="13"/>
        <v>1258.44</v>
      </c>
      <c r="E42" s="636">
        <f t="shared" si="14"/>
        <v>13.5844</v>
      </c>
      <c r="F42" s="637">
        <f>629.5</f>
        <v>629.5</v>
      </c>
      <c r="G42" s="588">
        <f>100</f>
        <v>100</v>
      </c>
      <c r="H42" s="588">
        <f t="shared" si="15"/>
        <v>529.5</v>
      </c>
      <c r="I42" s="75">
        <f t="shared" si="16"/>
        <v>6.2949999999999999</v>
      </c>
      <c r="J42" s="588">
        <f>101.5</f>
        <v>101.5</v>
      </c>
      <c r="K42" s="588">
        <f>100</f>
        <v>100</v>
      </c>
      <c r="L42" s="588">
        <f t="shared" si="17"/>
        <v>1.5</v>
      </c>
      <c r="M42" s="636">
        <f t="shared" si="18"/>
        <v>1.0149999999999999</v>
      </c>
      <c r="N42" s="637">
        <f>197.5</f>
        <v>197.5</v>
      </c>
      <c r="O42" s="588">
        <f>100</f>
        <v>100</v>
      </c>
      <c r="P42" s="588">
        <f t="shared" si="19"/>
        <v>97.5</v>
      </c>
      <c r="Q42" s="75">
        <f t="shared" si="20"/>
        <v>1.9750000000000001</v>
      </c>
      <c r="R42" s="588">
        <f>121.5</f>
        <v>121.5</v>
      </c>
      <c r="S42" s="588">
        <f>100</f>
        <v>100</v>
      </c>
      <c r="T42" s="588">
        <f t="shared" si="21"/>
        <v>21.5</v>
      </c>
      <c r="U42" s="636">
        <f t="shared" si="22"/>
        <v>1.2150000000000001</v>
      </c>
      <c r="V42" s="641">
        <f t="shared" si="23"/>
        <v>2408.44</v>
      </c>
      <c r="W42" s="642">
        <f t="shared" si="23"/>
        <v>500</v>
      </c>
      <c r="X42" s="642">
        <f t="shared" si="24"/>
        <v>1908.44</v>
      </c>
      <c r="Y42" s="643">
        <f t="shared" si="25"/>
        <v>4.8168800000000003</v>
      </c>
    </row>
    <row r="43" spans="1:25" x14ac:dyDescent="0.25">
      <c r="A43" s="39" t="s">
        <v>27</v>
      </c>
      <c r="B43" s="471">
        <f>(((((((B31)+(B36))+(B37))+(B38))+(B39))+(B40))+(B41))+(B42)</f>
        <v>3158.1000000000004</v>
      </c>
      <c r="C43" s="471">
        <f>(((((((C31)+(C36))+(C37))+(C38))+(C39))+(C40))+(C41))+(C42)</f>
        <v>5191.67</v>
      </c>
      <c r="D43" s="471">
        <f t="shared" si="13"/>
        <v>-2033.5699999999997</v>
      </c>
      <c r="E43" s="596">
        <f t="shared" si="14"/>
        <v>0.60830137508739968</v>
      </c>
      <c r="F43" s="597">
        <f>(((((((F31)+(F36))+(F37))+(F38))+(F39))+(F40))+(F41))+(F42)</f>
        <v>4824.74</v>
      </c>
      <c r="G43" s="471">
        <f>(((((((G31)+(G36))+(G37))+(G38))+(G39))+(G40))+(G41))+(G42)</f>
        <v>5191.67</v>
      </c>
      <c r="H43" s="471">
        <f t="shared" si="15"/>
        <v>-366.93000000000029</v>
      </c>
      <c r="I43" s="53">
        <f t="shared" si="16"/>
        <v>0.92932331985661643</v>
      </c>
      <c r="J43" s="471">
        <f>(((((((J31)+(J36))+(J37))+(J38))+(J39))+(J40))+(J41))+(J42)</f>
        <v>2403.2799999999997</v>
      </c>
      <c r="K43" s="471">
        <f>(((((((K31)+(K36))+(K37))+(K38))+(K39))+(K40))+(K41))+(K42)</f>
        <v>5191.67</v>
      </c>
      <c r="L43" s="471">
        <f t="shared" si="17"/>
        <v>-2788.3900000000003</v>
      </c>
      <c r="M43" s="596">
        <f t="shared" si="18"/>
        <v>0.46291077822742965</v>
      </c>
      <c r="N43" s="597">
        <f>(((((((N31)+(N36))+(N37))+(N38))+(N39))+(N40))+(N41))+(N42)</f>
        <v>2220.1099999999997</v>
      </c>
      <c r="O43" s="471">
        <f>(((((((O31)+(O36))+(O37))+(O38))+(O39))+(O40))+(O41))+(O42)</f>
        <v>5191.67</v>
      </c>
      <c r="P43" s="471">
        <f t="shared" si="19"/>
        <v>-2971.5600000000004</v>
      </c>
      <c r="Q43" s="53">
        <f t="shared" si="20"/>
        <v>0.42762925994911072</v>
      </c>
      <c r="R43" s="471">
        <f>(((((((R31)+(R36))+(R37))+(R38))+(R39))+(R40))+(R41))+(R42)</f>
        <v>2542.3900000000003</v>
      </c>
      <c r="S43" s="471">
        <f>(((((((S31)+(S36))+(S37))+(S38))+(S39))+(S40))+(S41))+(S42)</f>
        <v>5191.67</v>
      </c>
      <c r="T43" s="471">
        <f t="shared" si="21"/>
        <v>-2649.2799999999997</v>
      </c>
      <c r="U43" s="596">
        <f t="shared" si="22"/>
        <v>0.48970562458707895</v>
      </c>
      <c r="V43" s="598">
        <f t="shared" si="23"/>
        <v>15148.619999999999</v>
      </c>
      <c r="W43" s="599">
        <f t="shared" si="23"/>
        <v>25958.35</v>
      </c>
      <c r="X43" s="599">
        <f t="shared" si="24"/>
        <v>-10809.73</v>
      </c>
      <c r="Y43" s="600">
        <f t="shared" si="25"/>
        <v>0.58357407154152707</v>
      </c>
    </row>
    <row r="44" spans="1:25" x14ac:dyDescent="0.25">
      <c r="A44" s="39" t="s">
        <v>28</v>
      </c>
      <c r="B44" s="587"/>
      <c r="C44" s="587"/>
      <c r="D44" s="588">
        <f t="shared" si="13"/>
        <v>0</v>
      </c>
      <c r="E44" s="636" t="str">
        <f t="shared" si="14"/>
        <v/>
      </c>
      <c r="F44" s="634"/>
      <c r="G44" s="587"/>
      <c r="H44" s="588">
        <f t="shared" si="15"/>
        <v>0</v>
      </c>
      <c r="I44" s="75" t="str">
        <f t="shared" si="16"/>
        <v/>
      </c>
      <c r="J44" s="587"/>
      <c r="K44" s="587"/>
      <c r="L44" s="588">
        <f t="shared" si="17"/>
        <v>0</v>
      </c>
      <c r="M44" s="636" t="str">
        <f t="shared" si="18"/>
        <v/>
      </c>
      <c r="N44" s="634"/>
      <c r="O44" s="587"/>
      <c r="P44" s="588">
        <f t="shared" si="19"/>
        <v>0</v>
      </c>
      <c r="Q44" s="75" t="str">
        <f t="shared" si="20"/>
        <v/>
      </c>
      <c r="R44" s="587"/>
      <c r="S44" s="587"/>
      <c r="T44" s="588">
        <f t="shared" si="21"/>
        <v>0</v>
      </c>
      <c r="U44" s="636" t="str">
        <f t="shared" si="22"/>
        <v/>
      </c>
      <c r="V44" s="641">
        <f t="shared" si="23"/>
        <v>0</v>
      </c>
      <c r="W44" s="642">
        <f t="shared" si="23"/>
        <v>0</v>
      </c>
      <c r="X44" s="642">
        <f t="shared" si="24"/>
        <v>0</v>
      </c>
      <c r="Y44" s="643" t="str">
        <f t="shared" si="25"/>
        <v/>
      </c>
    </row>
    <row r="45" spans="1:25" x14ac:dyDescent="0.25">
      <c r="A45" s="39" t="s">
        <v>613</v>
      </c>
      <c r="B45" s="588">
        <f>30.39</f>
        <v>30.39</v>
      </c>
      <c r="C45" s="588">
        <f>0</f>
        <v>0</v>
      </c>
      <c r="D45" s="588">
        <f t="shared" si="13"/>
        <v>30.39</v>
      </c>
      <c r="E45" s="636" t="str">
        <f t="shared" si="14"/>
        <v/>
      </c>
      <c r="F45" s="634"/>
      <c r="G45" s="588">
        <f>0</f>
        <v>0</v>
      </c>
      <c r="H45" s="588">
        <f t="shared" si="15"/>
        <v>0</v>
      </c>
      <c r="I45" s="75" t="str">
        <f t="shared" si="16"/>
        <v/>
      </c>
      <c r="J45" s="588">
        <f>146</f>
        <v>146</v>
      </c>
      <c r="K45" s="588">
        <f>10000</f>
        <v>10000</v>
      </c>
      <c r="L45" s="588">
        <f t="shared" si="17"/>
        <v>-9854</v>
      </c>
      <c r="M45" s="636">
        <f t="shared" si="18"/>
        <v>1.46E-2</v>
      </c>
      <c r="N45" s="634"/>
      <c r="O45" s="588">
        <f>0</f>
        <v>0</v>
      </c>
      <c r="P45" s="588">
        <f t="shared" si="19"/>
        <v>0</v>
      </c>
      <c r="Q45" s="75" t="str">
        <f t="shared" si="20"/>
        <v/>
      </c>
      <c r="R45" s="587"/>
      <c r="S45" s="588">
        <f>0</f>
        <v>0</v>
      </c>
      <c r="T45" s="588">
        <f t="shared" si="21"/>
        <v>0</v>
      </c>
      <c r="U45" s="636" t="str">
        <f t="shared" si="22"/>
        <v/>
      </c>
      <c r="V45" s="641">
        <f t="shared" si="23"/>
        <v>176.39</v>
      </c>
      <c r="W45" s="642">
        <f t="shared" si="23"/>
        <v>10000</v>
      </c>
      <c r="X45" s="642">
        <f t="shared" si="24"/>
        <v>-9823.61</v>
      </c>
      <c r="Y45" s="643">
        <f t="shared" si="25"/>
        <v>1.7638999999999998E-2</v>
      </c>
    </row>
    <row r="46" spans="1:25" x14ac:dyDescent="0.25">
      <c r="A46" s="39" t="s">
        <v>1378</v>
      </c>
      <c r="B46" s="587"/>
      <c r="C46" s="588">
        <f>0</f>
        <v>0</v>
      </c>
      <c r="D46" s="588">
        <f t="shared" si="13"/>
        <v>0</v>
      </c>
      <c r="E46" s="636" t="str">
        <f t="shared" si="14"/>
        <v/>
      </c>
      <c r="F46" s="634"/>
      <c r="G46" s="588">
        <f>0</f>
        <v>0</v>
      </c>
      <c r="H46" s="588">
        <f t="shared" si="15"/>
        <v>0</v>
      </c>
      <c r="I46" s="75" t="str">
        <f t="shared" si="16"/>
        <v/>
      </c>
      <c r="J46" s="587"/>
      <c r="K46" s="588">
        <f>0</f>
        <v>0</v>
      </c>
      <c r="L46" s="588">
        <f t="shared" si="17"/>
        <v>0</v>
      </c>
      <c r="M46" s="636" t="str">
        <f t="shared" si="18"/>
        <v/>
      </c>
      <c r="N46" s="634"/>
      <c r="O46" s="588">
        <f>0</f>
        <v>0</v>
      </c>
      <c r="P46" s="588">
        <f t="shared" si="19"/>
        <v>0</v>
      </c>
      <c r="Q46" s="75" t="str">
        <f t="shared" si="20"/>
        <v/>
      </c>
      <c r="R46" s="587"/>
      <c r="S46" s="588">
        <f>0</f>
        <v>0</v>
      </c>
      <c r="T46" s="588">
        <f t="shared" si="21"/>
        <v>0</v>
      </c>
      <c r="U46" s="636" t="str">
        <f t="shared" si="22"/>
        <v/>
      </c>
      <c r="V46" s="641">
        <f t="shared" si="23"/>
        <v>0</v>
      </c>
      <c r="W46" s="642">
        <f t="shared" si="23"/>
        <v>0</v>
      </c>
      <c r="X46" s="642">
        <f t="shared" si="24"/>
        <v>0</v>
      </c>
      <c r="Y46" s="643" t="str">
        <f t="shared" si="25"/>
        <v/>
      </c>
    </row>
    <row r="47" spans="1:25" x14ac:dyDescent="0.25">
      <c r="A47" s="39" t="s">
        <v>29</v>
      </c>
      <c r="B47" s="471">
        <f>((B44)+(B45))+(B46)</f>
        <v>30.39</v>
      </c>
      <c r="C47" s="471">
        <f>((C44)+(C45))+(C46)</f>
        <v>0</v>
      </c>
      <c r="D47" s="471">
        <f t="shared" si="13"/>
        <v>30.39</v>
      </c>
      <c r="E47" s="596" t="str">
        <f t="shared" si="14"/>
        <v/>
      </c>
      <c r="F47" s="597">
        <f>((F44)+(F45))+(F46)</f>
        <v>0</v>
      </c>
      <c r="G47" s="471">
        <f>((G44)+(G45))+(G46)</f>
        <v>0</v>
      </c>
      <c r="H47" s="471">
        <f t="shared" si="15"/>
        <v>0</v>
      </c>
      <c r="I47" s="53" t="str">
        <f t="shared" si="16"/>
        <v/>
      </c>
      <c r="J47" s="471">
        <f>((J44)+(J45))+(J46)</f>
        <v>146</v>
      </c>
      <c r="K47" s="471">
        <f>((K44)+(K45))+(K46)</f>
        <v>10000</v>
      </c>
      <c r="L47" s="471">
        <f t="shared" si="17"/>
        <v>-9854</v>
      </c>
      <c r="M47" s="596">
        <f t="shared" si="18"/>
        <v>1.46E-2</v>
      </c>
      <c r="N47" s="597">
        <f>((N44)+(N45))+(N46)</f>
        <v>0</v>
      </c>
      <c r="O47" s="471">
        <f>((O44)+(O45))+(O46)</f>
        <v>0</v>
      </c>
      <c r="P47" s="471">
        <f t="shared" si="19"/>
        <v>0</v>
      </c>
      <c r="Q47" s="53" t="str">
        <f t="shared" si="20"/>
        <v/>
      </c>
      <c r="R47" s="471">
        <f>((R44)+(R45))+(R46)</f>
        <v>0</v>
      </c>
      <c r="S47" s="471">
        <f>((S44)+(S45))+(S46)</f>
        <v>0</v>
      </c>
      <c r="T47" s="471">
        <f t="shared" si="21"/>
        <v>0</v>
      </c>
      <c r="U47" s="596" t="str">
        <f t="shared" si="22"/>
        <v/>
      </c>
      <c r="V47" s="598">
        <f t="shared" si="23"/>
        <v>176.39</v>
      </c>
      <c r="W47" s="599">
        <f t="shared" si="23"/>
        <v>10000</v>
      </c>
      <c r="X47" s="599">
        <f t="shared" si="24"/>
        <v>-9823.61</v>
      </c>
      <c r="Y47" s="600">
        <f t="shared" si="25"/>
        <v>1.7638999999999998E-2</v>
      </c>
    </row>
    <row r="48" spans="1:25" x14ac:dyDescent="0.25">
      <c r="A48" s="39" t="s">
        <v>30</v>
      </c>
      <c r="B48" s="587"/>
      <c r="C48" s="587"/>
      <c r="D48" s="588">
        <f t="shared" si="13"/>
        <v>0</v>
      </c>
      <c r="E48" s="636" t="str">
        <f t="shared" si="14"/>
        <v/>
      </c>
      <c r="F48" s="634"/>
      <c r="G48" s="587"/>
      <c r="H48" s="588">
        <f t="shared" si="15"/>
        <v>0</v>
      </c>
      <c r="I48" s="75" t="str">
        <f t="shared" si="16"/>
        <v/>
      </c>
      <c r="J48" s="587"/>
      <c r="K48" s="587"/>
      <c r="L48" s="588">
        <f t="shared" si="17"/>
        <v>0</v>
      </c>
      <c r="M48" s="636" t="str">
        <f t="shared" si="18"/>
        <v/>
      </c>
      <c r="N48" s="634"/>
      <c r="O48" s="587"/>
      <c r="P48" s="588">
        <f t="shared" si="19"/>
        <v>0</v>
      </c>
      <c r="Q48" s="75" t="str">
        <f t="shared" si="20"/>
        <v/>
      </c>
      <c r="R48" s="587"/>
      <c r="S48" s="587"/>
      <c r="T48" s="588">
        <f t="shared" si="21"/>
        <v>0</v>
      </c>
      <c r="U48" s="636" t="str">
        <f t="shared" si="22"/>
        <v/>
      </c>
      <c r="V48" s="641">
        <f t="shared" si="23"/>
        <v>0</v>
      </c>
      <c r="W48" s="642">
        <f t="shared" si="23"/>
        <v>0</v>
      </c>
      <c r="X48" s="642">
        <f t="shared" si="24"/>
        <v>0</v>
      </c>
      <c r="Y48" s="643" t="str">
        <f t="shared" si="25"/>
        <v/>
      </c>
    </row>
    <row r="49" spans="1:25" x14ac:dyDescent="0.25">
      <c r="A49" s="39" t="s">
        <v>31</v>
      </c>
      <c r="B49" s="587"/>
      <c r="C49" s="588">
        <f>400</f>
        <v>400</v>
      </c>
      <c r="D49" s="588">
        <f t="shared" si="13"/>
        <v>-400</v>
      </c>
      <c r="E49" s="636">
        <f t="shared" si="14"/>
        <v>0</v>
      </c>
      <c r="F49" s="634"/>
      <c r="G49" s="588">
        <f>400</f>
        <v>400</v>
      </c>
      <c r="H49" s="588">
        <f t="shared" si="15"/>
        <v>-400</v>
      </c>
      <c r="I49" s="75">
        <f t="shared" si="16"/>
        <v>0</v>
      </c>
      <c r="J49" s="587"/>
      <c r="K49" s="588">
        <f>400</f>
        <v>400</v>
      </c>
      <c r="L49" s="588">
        <f t="shared" si="17"/>
        <v>-400</v>
      </c>
      <c r="M49" s="636">
        <f t="shared" si="18"/>
        <v>0</v>
      </c>
      <c r="N49" s="634"/>
      <c r="O49" s="588">
        <f>400</f>
        <v>400</v>
      </c>
      <c r="P49" s="588">
        <f t="shared" si="19"/>
        <v>-400</v>
      </c>
      <c r="Q49" s="75">
        <f t="shared" si="20"/>
        <v>0</v>
      </c>
      <c r="R49" s="587"/>
      <c r="S49" s="588">
        <f>400</f>
        <v>400</v>
      </c>
      <c r="T49" s="588">
        <f t="shared" si="21"/>
        <v>-400</v>
      </c>
      <c r="U49" s="636">
        <f t="shared" si="22"/>
        <v>0</v>
      </c>
      <c r="V49" s="641">
        <f t="shared" si="23"/>
        <v>0</v>
      </c>
      <c r="W49" s="642">
        <f t="shared" si="23"/>
        <v>2000</v>
      </c>
      <c r="X49" s="642">
        <f t="shared" si="24"/>
        <v>-2000</v>
      </c>
      <c r="Y49" s="643">
        <f t="shared" si="25"/>
        <v>0</v>
      </c>
    </row>
    <row r="50" spans="1:25" x14ac:dyDescent="0.25">
      <c r="A50" s="39" t="s">
        <v>1150</v>
      </c>
      <c r="B50" s="588">
        <f>1017.34</f>
        <v>1017.34</v>
      </c>
      <c r="C50" s="588">
        <f>1000</f>
        <v>1000</v>
      </c>
      <c r="D50" s="588">
        <f t="shared" si="13"/>
        <v>17.340000000000032</v>
      </c>
      <c r="E50" s="636">
        <f t="shared" si="14"/>
        <v>1.0173400000000001</v>
      </c>
      <c r="F50" s="637">
        <f>11052.65</f>
        <v>11052.65</v>
      </c>
      <c r="G50" s="588">
        <f>1000</f>
        <v>1000</v>
      </c>
      <c r="H50" s="588">
        <f t="shared" si="15"/>
        <v>10052.65</v>
      </c>
      <c r="I50" s="75">
        <f t="shared" si="16"/>
        <v>11.05265</v>
      </c>
      <c r="J50" s="588">
        <f>983.34</f>
        <v>983.34</v>
      </c>
      <c r="K50" s="588">
        <f>1000</f>
        <v>1000</v>
      </c>
      <c r="L50" s="588">
        <f t="shared" si="17"/>
        <v>-16.659999999999968</v>
      </c>
      <c r="M50" s="636">
        <f t="shared" si="18"/>
        <v>0.98333999999999999</v>
      </c>
      <c r="N50" s="637">
        <f>983.34</f>
        <v>983.34</v>
      </c>
      <c r="O50" s="588">
        <f>1000</f>
        <v>1000</v>
      </c>
      <c r="P50" s="588">
        <f t="shared" si="19"/>
        <v>-16.659999999999968</v>
      </c>
      <c r="Q50" s="75">
        <f t="shared" si="20"/>
        <v>0.98333999999999999</v>
      </c>
      <c r="R50" s="588">
        <f>983.34</f>
        <v>983.34</v>
      </c>
      <c r="S50" s="588">
        <f>1000</f>
        <v>1000</v>
      </c>
      <c r="T50" s="588">
        <f t="shared" si="21"/>
        <v>-16.659999999999968</v>
      </c>
      <c r="U50" s="636">
        <f t="shared" si="22"/>
        <v>0.98333999999999999</v>
      </c>
      <c r="V50" s="641">
        <f t="shared" si="23"/>
        <v>15020.01</v>
      </c>
      <c r="W50" s="642">
        <f t="shared" si="23"/>
        <v>5000</v>
      </c>
      <c r="X50" s="642">
        <f t="shared" si="24"/>
        <v>10020.01</v>
      </c>
      <c r="Y50" s="643">
        <f t="shared" si="25"/>
        <v>3.0040019999999998</v>
      </c>
    </row>
    <row r="51" spans="1:25" x14ac:dyDescent="0.25">
      <c r="A51" s="39" t="s">
        <v>32</v>
      </c>
      <c r="B51" s="588">
        <f>2292.02</f>
        <v>2292.02</v>
      </c>
      <c r="C51" s="588">
        <f>2329.88</f>
        <v>2329.88</v>
      </c>
      <c r="D51" s="588">
        <f t="shared" si="13"/>
        <v>-37.860000000000127</v>
      </c>
      <c r="E51" s="636">
        <f t="shared" si="14"/>
        <v>0.98375023606365986</v>
      </c>
      <c r="F51" s="637">
        <f>4107.35</f>
        <v>4107.3500000000004</v>
      </c>
      <c r="G51" s="588">
        <f>4083.32</f>
        <v>4083.32</v>
      </c>
      <c r="H51" s="588">
        <f t="shared" si="15"/>
        <v>24.0300000000002</v>
      </c>
      <c r="I51" s="75">
        <f t="shared" si="16"/>
        <v>1.0058849171752398</v>
      </c>
      <c r="J51" s="588">
        <f>1880.62</f>
        <v>1880.62</v>
      </c>
      <c r="K51" s="588">
        <f>1867.88</f>
        <v>1867.88</v>
      </c>
      <c r="L51" s="588">
        <f t="shared" si="17"/>
        <v>12.739999999999782</v>
      </c>
      <c r="M51" s="636">
        <f t="shared" si="18"/>
        <v>1.0068205666316894</v>
      </c>
      <c r="N51" s="637">
        <f>1840.59</f>
        <v>1840.59</v>
      </c>
      <c r="O51" s="588">
        <f>1867.88</f>
        <v>1867.88</v>
      </c>
      <c r="P51" s="588">
        <f t="shared" si="19"/>
        <v>-27.290000000000191</v>
      </c>
      <c r="Q51" s="75">
        <f t="shared" si="20"/>
        <v>0.98538985373792742</v>
      </c>
      <c r="R51" s="588">
        <f>1927.05</f>
        <v>1927.05</v>
      </c>
      <c r="S51" s="588">
        <f>1867.88</f>
        <v>1867.88</v>
      </c>
      <c r="T51" s="588">
        <f t="shared" si="21"/>
        <v>59.169999999999845</v>
      </c>
      <c r="U51" s="636">
        <f t="shared" si="22"/>
        <v>1.0316776238302245</v>
      </c>
      <c r="V51" s="641">
        <f t="shared" si="23"/>
        <v>12047.630000000001</v>
      </c>
      <c r="W51" s="642">
        <f t="shared" si="23"/>
        <v>12016.840000000004</v>
      </c>
      <c r="X51" s="642">
        <f t="shared" si="24"/>
        <v>30.789999999997235</v>
      </c>
      <c r="Y51" s="643">
        <f t="shared" si="25"/>
        <v>1.0025622376598171</v>
      </c>
    </row>
    <row r="52" spans="1:25" x14ac:dyDescent="0.25">
      <c r="A52" s="39" t="s">
        <v>33</v>
      </c>
      <c r="B52" s="588">
        <f>25433.72</f>
        <v>25433.72</v>
      </c>
      <c r="C52" s="588">
        <f>22750</f>
        <v>22750</v>
      </c>
      <c r="D52" s="588">
        <f t="shared" si="13"/>
        <v>2683.7200000000012</v>
      </c>
      <c r="E52" s="636">
        <f t="shared" si="14"/>
        <v>1.1179657142857142</v>
      </c>
      <c r="F52" s="637">
        <f>22873.99</f>
        <v>22873.99</v>
      </c>
      <c r="G52" s="588">
        <f>22750</f>
        <v>22750</v>
      </c>
      <c r="H52" s="588">
        <f t="shared" si="15"/>
        <v>123.9900000000016</v>
      </c>
      <c r="I52" s="75">
        <f t="shared" si="16"/>
        <v>1.0054501098901099</v>
      </c>
      <c r="J52" s="588">
        <f>23665.07</f>
        <v>23665.07</v>
      </c>
      <c r="K52" s="588">
        <f>22750</f>
        <v>22750</v>
      </c>
      <c r="L52" s="588">
        <f t="shared" si="17"/>
        <v>915.06999999999971</v>
      </c>
      <c r="M52" s="636">
        <f t="shared" si="18"/>
        <v>1.0402228571428571</v>
      </c>
      <c r="N52" s="637">
        <f>24583.34</f>
        <v>24583.34</v>
      </c>
      <c r="O52" s="588">
        <f>22750</f>
        <v>22750</v>
      </c>
      <c r="P52" s="588">
        <f t="shared" si="19"/>
        <v>1833.3400000000001</v>
      </c>
      <c r="Q52" s="75">
        <f t="shared" si="20"/>
        <v>1.0805863736263737</v>
      </c>
      <c r="R52" s="588">
        <f>25015.34</f>
        <v>25015.34</v>
      </c>
      <c r="S52" s="588">
        <f>22750</f>
        <v>22750</v>
      </c>
      <c r="T52" s="588">
        <f t="shared" si="21"/>
        <v>2265.34</v>
      </c>
      <c r="U52" s="636">
        <f t="shared" si="22"/>
        <v>1.0995753846153846</v>
      </c>
      <c r="V52" s="641">
        <f t="shared" si="23"/>
        <v>121571.45999999999</v>
      </c>
      <c r="W52" s="642">
        <f t="shared" si="23"/>
        <v>113750</v>
      </c>
      <c r="X52" s="642">
        <f t="shared" si="24"/>
        <v>7821.4599999999919</v>
      </c>
      <c r="Y52" s="643">
        <f t="shared" si="25"/>
        <v>1.0687600879120878</v>
      </c>
    </row>
    <row r="53" spans="1:25" x14ac:dyDescent="0.25">
      <c r="A53" s="39" t="s">
        <v>34</v>
      </c>
      <c r="B53" s="588">
        <f>4226.11</f>
        <v>4226.1099999999997</v>
      </c>
      <c r="C53" s="588">
        <f>1734.63</f>
        <v>1734.63</v>
      </c>
      <c r="D53" s="588">
        <f t="shared" si="13"/>
        <v>2491.4799999999996</v>
      </c>
      <c r="E53" s="636">
        <f t="shared" si="14"/>
        <v>2.436317831468382</v>
      </c>
      <c r="F53" s="637">
        <f>1684.95</f>
        <v>1684.95</v>
      </c>
      <c r="G53" s="588">
        <f>1734.63</f>
        <v>1734.63</v>
      </c>
      <c r="H53" s="588">
        <f t="shared" si="15"/>
        <v>-49.680000000000064</v>
      </c>
      <c r="I53" s="75">
        <f t="shared" si="16"/>
        <v>0.97135988654641048</v>
      </c>
      <c r="J53" s="588">
        <f>2243.26</f>
        <v>2243.2600000000002</v>
      </c>
      <c r="K53" s="588">
        <f>1734.63</f>
        <v>1734.63</v>
      </c>
      <c r="L53" s="588">
        <f t="shared" si="17"/>
        <v>508.63000000000011</v>
      </c>
      <c r="M53" s="636">
        <f t="shared" si="18"/>
        <v>1.2932210327274405</v>
      </c>
      <c r="N53" s="637">
        <f>1747.45</f>
        <v>1747.45</v>
      </c>
      <c r="O53" s="588">
        <f>1734.63</f>
        <v>1734.63</v>
      </c>
      <c r="P53" s="588">
        <f t="shared" si="19"/>
        <v>12.819999999999936</v>
      </c>
      <c r="Q53" s="75">
        <f t="shared" si="20"/>
        <v>1.0073906250900768</v>
      </c>
      <c r="R53" s="588">
        <f>1747.45</f>
        <v>1747.45</v>
      </c>
      <c r="S53" s="588">
        <f>1734.63</f>
        <v>1734.63</v>
      </c>
      <c r="T53" s="588">
        <f t="shared" si="21"/>
        <v>12.819999999999936</v>
      </c>
      <c r="U53" s="636">
        <f t="shared" si="22"/>
        <v>1.0073906250900768</v>
      </c>
      <c r="V53" s="641">
        <f t="shared" si="23"/>
        <v>11649.220000000001</v>
      </c>
      <c r="W53" s="642">
        <f t="shared" si="23"/>
        <v>8673.1500000000015</v>
      </c>
      <c r="X53" s="642">
        <f t="shared" si="24"/>
        <v>2976.0699999999997</v>
      </c>
      <c r="Y53" s="643">
        <f t="shared" si="25"/>
        <v>1.3431360001844772</v>
      </c>
    </row>
    <row r="54" spans="1:25" x14ac:dyDescent="0.25">
      <c r="A54" s="39" t="s">
        <v>35</v>
      </c>
      <c r="B54" s="588">
        <f>2095.66</f>
        <v>2095.66</v>
      </c>
      <c r="C54" s="588">
        <f>1462.69</f>
        <v>1462.69</v>
      </c>
      <c r="D54" s="588">
        <f t="shared" si="13"/>
        <v>632.9699999999998</v>
      </c>
      <c r="E54" s="636">
        <f t="shared" si="14"/>
        <v>1.4327437802952094</v>
      </c>
      <c r="F54" s="637">
        <f>1462.69</f>
        <v>1462.69</v>
      </c>
      <c r="G54" s="588">
        <f>1462.69</f>
        <v>1462.69</v>
      </c>
      <c r="H54" s="588">
        <f t="shared" si="15"/>
        <v>0</v>
      </c>
      <c r="I54" s="75">
        <f t="shared" si="16"/>
        <v>1</v>
      </c>
      <c r="J54" s="588">
        <f>1462.69</f>
        <v>1462.69</v>
      </c>
      <c r="K54" s="588">
        <f>1462.69</f>
        <v>1462.69</v>
      </c>
      <c r="L54" s="588">
        <f t="shared" si="17"/>
        <v>0</v>
      </c>
      <c r="M54" s="636">
        <f t="shared" si="18"/>
        <v>1</v>
      </c>
      <c r="N54" s="637">
        <f>1462.69</f>
        <v>1462.69</v>
      </c>
      <c r="O54" s="588">
        <f>1462.69</f>
        <v>1462.69</v>
      </c>
      <c r="P54" s="588">
        <f t="shared" si="19"/>
        <v>0</v>
      </c>
      <c r="Q54" s="75">
        <f t="shared" si="20"/>
        <v>1</v>
      </c>
      <c r="R54" s="588">
        <f>1462.69</f>
        <v>1462.69</v>
      </c>
      <c r="S54" s="588">
        <f>1462.69</f>
        <v>1462.69</v>
      </c>
      <c r="T54" s="588">
        <f t="shared" si="21"/>
        <v>0</v>
      </c>
      <c r="U54" s="636">
        <f t="shared" si="22"/>
        <v>1</v>
      </c>
      <c r="V54" s="641">
        <f t="shared" si="23"/>
        <v>7946.42</v>
      </c>
      <c r="W54" s="642">
        <f t="shared" si="23"/>
        <v>7313.4500000000007</v>
      </c>
      <c r="X54" s="642">
        <f t="shared" si="24"/>
        <v>632.96999999999935</v>
      </c>
      <c r="Y54" s="643">
        <f t="shared" si="25"/>
        <v>1.0865487560590419</v>
      </c>
    </row>
    <row r="55" spans="1:25" x14ac:dyDescent="0.25">
      <c r="A55" s="39" t="s">
        <v>36</v>
      </c>
      <c r="B55" s="588">
        <f>2000</f>
        <v>2000</v>
      </c>
      <c r="C55" s="588">
        <f>2000</f>
        <v>2000</v>
      </c>
      <c r="D55" s="588">
        <f t="shared" si="13"/>
        <v>0</v>
      </c>
      <c r="E55" s="636">
        <f t="shared" si="14"/>
        <v>1</v>
      </c>
      <c r="F55" s="637">
        <f>2000</f>
        <v>2000</v>
      </c>
      <c r="G55" s="588">
        <f>2000</f>
        <v>2000</v>
      </c>
      <c r="H55" s="588">
        <f t="shared" si="15"/>
        <v>0</v>
      </c>
      <c r="I55" s="75">
        <f t="shared" si="16"/>
        <v>1</v>
      </c>
      <c r="J55" s="588">
        <f>2000</f>
        <v>2000</v>
      </c>
      <c r="K55" s="588">
        <f>2000</f>
        <v>2000</v>
      </c>
      <c r="L55" s="588">
        <f t="shared" si="17"/>
        <v>0</v>
      </c>
      <c r="M55" s="636">
        <f t="shared" si="18"/>
        <v>1</v>
      </c>
      <c r="N55" s="637">
        <f>2000</f>
        <v>2000</v>
      </c>
      <c r="O55" s="588">
        <f>2000</f>
        <v>2000</v>
      </c>
      <c r="P55" s="588">
        <f t="shared" si="19"/>
        <v>0</v>
      </c>
      <c r="Q55" s="75">
        <f t="shared" si="20"/>
        <v>1</v>
      </c>
      <c r="R55" s="588">
        <f>2000</f>
        <v>2000</v>
      </c>
      <c r="S55" s="588">
        <f>2000</f>
        <v>2000</v>
      </c>
      <c r="T55" s="588">
        <f t="shared" si="21"/>
        <v>0</v>
      </c>
      <c r="U55" s="636">
        <f t="shared" si="22"/>
        <v>1</v>
      </c>
      <c r="V55" s="641">
        <f t="shared" si="23"/>
        <v>10000</v>
      </c>
      <c r="W55" s="642">
        <f t="shared" si="23"/>
        <v>10000</v>
      </c>
      <c r="X55" s="642">
        <f t="shared" si="24"/>
        <v>0</v>
      </c>
      <c r="Y55" s="643">
        <f t="shared" si="25"/>
        <v>1</v>
      </c>
    </row>
    <row r="56" spans="1:25" x14ac:dyDescent="0.25">
      <c r="A56" s="39" t="s">
        <v>37</v>
      </c>
      <c r="B56" s="588">
        <f>372.34</f>
        <v>372.34</v>
      </c>
      <c r="C56" s="588">
        <f>300</f>
        <v>300</v>
      </c>
      <c r="D56" s="588">
        <f t="shared" si="13"/>
        <v>72.339999999999975</v>
      </c>
      <c r="E56" s="636">
        <f t="shared" si="14"/>
        <v>1.2411333333333332</v>
      </c>
      <c r="F56" s="637">
        <f>234.84</f>
        <v>234.84</v>
      </c>
      <c r="G56" s="588">
        <f>300</f>
        <v>300</v>
      </c>
      <c r="H56" s="588">
        <f t="shared" si="15"/>
        <v>-65.16</v>
      </c>
      <c r="I56" s="75">
        <f t="shared" si="16"/>
        <v>0.78280000000000005</v>
      </c>
      <c r="J56" s="588">
        <f>226.44</f>
        <v>226.44</v>
      </c>
      <c r="K56" s="588">
        <f>300</f>
        <v>300</v>
      </c>
      <c r="L56" s="588">
        <f t="shared" si="17"/>
        <v>-73.56</v>
      </c>
      <c r="M56" s="636">
        <f t="shared" si="18"/>
        <v>0.75480000000000003</v>
      </c>
      <c r="N56" s="637">
        <f>226.44</f>
        <v>226.44</v>
      </c>
      <c r="O56" s="588">
        <f>300</f>
        <v>300</v>
      </c>
      <c r="P56" s="588">
        <f t="shared" si="19"/>
        <v>-73.56</v>
      </c>
      <c r="Q56" s="75">
        <f t="shared" si="20"/>
        <v>0.75480000000000003</v>
      </c>
      <c r="R56" s="588">
        <f>238.24</f>
        <v>238.24</v>
      </c>
      <c r="S56" s="588">
        <f>300</f>
        <v>300</v>
      </c>
      <c r="T56" s="588">
        <f t="shared" si="21"/>
        <v>-61.759999999999991</v>
      </c>
      <c r="U56" s="636">
        <f t="shared" si="22"/>
        <v>0.79413333333333336</v>
      </c>
      <c r="V56" s="641">
        <f t="shared" si="23"/>
        <v>1298.3</v>
      </c>
      <c r="W56" s="642">
        <f t="shared" si="23"/>
        <v>1500</v>
      </c>
      <c r="X56" s="642">
        <f t="shared" si="24"/>
        <v>-201.70000000000005</v>
      </c>
      <c r="Y56" s="643">
        <f t="shared" si="25"/>
        <v>0.86553333333333327</v>
      </c>
    </row>
    <row r="57" spans="1:25" x14ac:dyDescent="0.25">
      <c r="A57" s="39" t="s">
        <v>885</v>
      </c>
      <c r="B57" s="588">
        <f>1500</f>
        <v>1500</v>
      </c>
      <c r="C57" s="588">
        <f>1250</f>
        <v>1250</v>
      </c>
      <c r="D57" s="588">
        <f t="shared" si="13"/>
        <v>250</v>
      </c>
      <c r="E57" s="636">
        <f t="shared" si="14"/>
        <v>1.2</v>
      </c>
      <c r="F57" s="637">
        <f>1500</f>
        <v>1500</v>
      </c>
      <c r="G57" s="588">
        <f>1250</f>
        <v>1250</v>
      </c>
      <c r="H57" s="588">
        <f t="shared" si="15"/>
        <v>250</v>
      </c>
      <c r="I57" s="75">
        <f t="shared" si="16"/>
        <v>1.2</v>
      </c>
      <c r="J57" s="588">
        <f>1500</f>
        <v>1500</v>
      </c>
      <c r="K57" s="588">
        <f>1250</f>
        <v>1250</v>
      </c>
      <c r="L57" s="588">
        <f t="shared" si="17"/>
        <v>250</v>
      </c>
      <c r="M57" s="636">
        <f t="shared" si="18"/>
        <v>1.2</v>
      </c>
      <c r="N57" s="637">
        <f>1500</f>
        <v>1500</v>
      </c>
      <c r="O57" s="588">
        <f>1250</f>
        <v>1250</v>
      </c>
      <c r="P57" s="588">
        <f t="shared" si="19"/>
        <v>250</v>
      </c>
      <c r="Q57" s="75">
        <f t="shared" si="20"/>
        <v>1.2</v>
      </c>
      <c r="R57" s="588">
        <f>1500</f>
        <v>1500</v>
      </c>
      <c r="S57" s="588">
        <f>1250</f>
        <v>1250</v>
      </c>
      <c r="T57" s="588">
        <f t="shared" si="21"/>
        <v>250</v>
      </c>
      <c r="U57" s="636">
        <f t="shared" si="22"/>
        <v>1.2</v>
      </c>
      <c r="V57" s="641">
        <f t="shared" si="23"/>
        <v>7500</v>
      </c>
      <c r="W57" s="642">
        <f t="shared" si="23"/>
        <v>6250</v>
      </c>
      <c r="X57" s="642">
        <f t="shared" si="24"/>
        <v>1250</v>
      </c>
      <c r="Y57" s="643">
        <f t="shared" si="25"/>
        <v>1.2</v>
      </c>
    </row>
    <row r="58" spans="1:25" x14ac:dyDescent="0.25">
      <c r="A58" s="39" t="s">
        <v>38</v>
      </c>
      <c r="B58" s="471">
        <f>(((((((((B48)+(B49))+(B50))+(B51))+(B52))+(B53))+(B54))+(B55))+(B56))+(B57)</f>
        <v>38937.19</v>
      </c>
      <c r="C58" s="471">
        <f>(((((((((C48)+(C49))+(C50))+(C51))+(C52))+(C53))+(C54))+(C55))+(C56))+(C57)</f>
        <v>33227.199999999997</v>
      </c>
      <c r="D58" s="471">
        <f t="shared" si="13"/>
        <v>5709.9900000000052</v>
      </c>
      <c r="E58" s="596">
        <f t="shared" si="14"/>
        <v>1.171846860403525</v>
      </c>
      <c r="F58" s="597">
        <f>(((((((((F48)+(F49))+(F50))+(F51))+(F52))+(F53))+(F54))+(F55))+(F56))+(F57)</f>
        <v>44916.47</v>
      </c>
      <c r="G58" s="471">
        <f>(((((((((G48)+(G49))+(G50))+(G51))+(G52))+(G53))+(G54))+(G55))+(G56))+(G57)</f>
        <v>34980.639999999999</v>
      </c>
      <c r="H58" s="471">
        <f t="shared" si="15"/>
        <v>9935.8300000000017</v>
      </c>
      <c r="I58" s="53">
        <f t="shared" si="16"/>
        <v>1.2840379707175169</v>
      </c>
      <c r="J58" s="471">
        <f>(((((((((J48)+(J49))+(J50))+(J51))+(J52))+(J53))+(J54))+(J55))+(J56))+(J57)</f>
        <v>33961.42</v>
      </c>
      <c r="K58" s="471">
        <f>(((((((((K48)+(K49))+(K50))+(K51))+(K52))+(K53))+(K54))+(K55))+(K56))+(K57)</f>
        <v>32765.200000000001</v>
      </c>
      <c r="L58" s="471">
        <f t="shared" si="17"/>
        <v>1196.2199999999975</v>
      </c>
      <c r="M58" s="596">
        <f t="shared" si="18"/>
        <v>1.0365088569579919</v>
      </c>
      <c r="N58" s="597">
        <f>(((((((((N48)+(N49))+(N50))+(N51))+(N52))+(N53))+(N54))+(N55))+(N56))+(N57)</f>
        <v>34343.85</v>
      </c>
      <c r="O58" s="471">
        <f>(((((((((O48)+(O49))+(O50))+(O51))+(O52))+(O53))+(O54))+(O55))+(O56))+(O57)</f>
        <v>32765.200000000001</v>
      </c>
      <c r="P58" s="471">
        <f t="shared" si="19"/>
        <v>1578.6499999999978</v>
      </c>
      <c r="Q58" s="53">
        <f t="shared" si="20"/>
        <v>1.0481806917094967</v>
      </c>
      <c r="R58" s="471">
        <f>(((((((((R48)+(R49))+(R50))+(R51))+(R52))+(R53))+(R54))+(R55))+(R56))+(R57)</f>
        <v>34874.109999999993</v>
      </c>
      <c r="S58" s="471">
        <f>(((((((((S48)+(S49))+(S50))+(S51))+(S52))+(S53))+(S54))+(S55))+(S56))+(S57)</f>
        <v>32765.200000000001</v>
      </c>
      <c r="T58" s="471">
        <f t="shared" si="21"/>
        <v>2108.9099999999926</v>
      </c>
      <c r="U58" s="596">
        <f t="shared" si="22"/>
        <v>1.0643643255649284</v>
      </c>
      <c r="V58" s="598">
        <f t="shared" si="23"/>
        <v>187033.03999999998</v>
      </c>
      <c r="W58" s="599">
        <f t="shared" si="23"/>
        <v>166503.44</v>
      </c>
      <c r="X58" s="599">
        <f t="shared" si="24"/>
        <v>20529.599999999977</v>
      </c>
      <c r="Y58" s="600">
        <f t="shared" si="25"/>
        <v>1.1232983534754595</v>
      </c>
    </row>
    <row r="59" spans="1:25" x14ac:dyDescent="0.25">
      <c r="A59" s="39" t="s">
        <v>39</v>
      </c>
      <c r="B59" s="587"/>
      <c r="C59" s="587"/>
      <c r="D59" s="588">
        <f t="shared" si="13"/>
        <v>0</v>
      </c>
      <c r="E59" s="636" t="str">
        <f t="shared" si="14"/>
        <v/>
      </c>
      <c r="F59" s="634"/>
      <c r="G59" s="587"/>
      <c r="H59" s="588">
        <f t="shared" si="15"/>
        <v>0</v>
      </c>
      <c r="I59" s="75" t="str">
        <f t="shared" si="16"/>
        <v/>
      </c>
      <c r="J59" s="587"/>
      <c r="K59" s="587"/>
      <c r="L59" s="588">
        <f t="shared" si="17"/>
        <v>0</v>
      </c>
      <c r="M59" s="636" t="str">
        <f t="shared" si="18"/>
        <v/>
      </c>
      <c r="N59" s="634"/>
      <c r="O59" s="587"/>
      <c r="P59" s="588">
        <f t="shared" si="19"/>
        <v>0</v>
      </c>
      <c r="Q59" s="75" t="str">
        <f t="shared" si="20"/>
        <v/>
      </c>
      <c r="R59" s="587"/>
      <c r="S59" s="587"/>
      <c r="T59" s="588">
        <f t="shared" si="21"/>
        <v>0</v>
      </c>
      <c r="U59" s="636" t="str">
        <f t="shared" si="22"/>
        <v/>
      </c>
      <c r="V59" s="641">
        <f t="shared" si="23"/>
        <v>0</v>
      </c>
      <c r="W59" s="642">
        <f t="shared" si="23"/>
        <v>0</v>
      </c>
      <c r="X59" s="642">
        <f t="shared" si="24"/>
        <v>0</v>
      </c>
      <c r="Y59" s="643" t="str">
        <f t="shared" si="25"/>
        <v/>
      </c>
    </row>
    <row r="60" spans="1:25" x14ac:dyDescent="0.25">
      <c r="A60" s="39" t="s">
        <v>40</v>
      </c>
      <c r="B60" s="588">
        <f>232.97</f>
        <v>232.97</v>
      </c>
      <c r="C60" s="588">
        <f>300</f>
        <v>300</v>
      </c>
      <c r="D60" s="588">
        <f t="shared" si="13"/>
        <v>-67.03</v>
      </c>
      <c r="E60" s="636">
        <f t="shared" si="14"/>
        <v>0.77656666666666663</v>
      </c>
      <c r="F60" s="637">
        <f>232.97</f>
        <v>232.97</v>
      </c>
      <c r="G60" s="588">
        <f>300</f>
        <v>300</v>
      </c>
      <c r="H60" s="588">
        <f t="shared" si="15"/>
        <v>-67.03</v>
      </c>
      <c r="I60" s="75">
        <f t="shared" si="16"/>
        <v>0.77656666666666663</v>
      </c>
      <c r="J60" s="588">
        <f>232.97</f>
        <v>232.97</v>
      </c>
      <c r="K60" s="588">
        <f>300</f>
        <v>300</v>
      </c>
      <c r="L60" s="588">
        <f t="shared" si="17"/>
        <v>-67.03</v>
      </c>
      <c r="M60" s="636">
        <f t="shared" si="18"/>
        <v>0.77656666666666663</v>
      </c>
      <c r="N60" s="637">
        <f>1221.97</f>
        <v>1221.97</v>
      </c>
      <c r="O60" s="588">
        <f>300</f>
        <v>300</v>
      </c>
      <c r="P60" s="588">
        <f t="shared" si="19"/>
        <v>921.97</v>
      </c>
      <c r="Q60" s="75">
        <f t="shared" si="20"/>
        <v>4.0732333333333335</v>
      </c>
      <c r="R60" s="588">
        <f>531.08</f>
        <v>531.08000000000004</v>
      </c>
      <c r="S60" s="588">
        <f>300</f>
        <v>300</v>
      </c>
      <c r="T60" s="588">
        <f t="shared" si="21"/>
        <v>231.08000000000004</v>
      </c>
      <c r="U60" s="636">
        <f t="shared" si="22"/>
        <v>1.7702666666666669</v>
      </c>
      <c r="V60" s="641">
        <f t="shared" si="23"/>
        <v>2451.96</v>
      </c>
      <c r="W60" s="642">
        <f t="shared" si="23"/>
        <v>1500</v>
      </c>
      <c r="X60" s="642">
        <f t="shared" si="24"/>
        <v>951.96</v>
      </c>
      <c r="Y60" s="643">
        <f t="shared" si="25"/>
        <v>1.6346400000000001</v>
      </c>
    </row>
    <row r="61" spans="1:25" x14ac:dyDescent="0.25">
      <c r="A61" s="39" t="s">
        <v>1019</v>
      </c>
      <c r="B61" s="588">
        <f>7100</f>
        <v>7100</v>
      </c>
      <c r="C61" s="588">
        <f>7100</f>
        <v>7100</v>
      </c>
      <c r="D61" s="588">
        <f t="shared" si="13"/>
        <v>0</v>
      </c>
      <c r="E61" s="636">
        <f t="shared" si="14"/>
        <v>1</v>
      </c>
      <c r="F61" s="637">
        <f>7100</f>
        <v>7100</v>
      </c>
      <c r="G61" s="588">
        <f>7100</f>
        <v>7100</v>
      </c>
      <c r="H61" s="588">
        <f t="shared" si="15"/>
        <v>0</v>
      </c>
      <c r="I61" s="75">
        <f t="shared" si="16"/>
        <v>1</v>
      </c>
      <c r="J61" s="588">
        <f>7100</f>
        <v>7100</v>
      </c>
      <c r="K61" s="588">
        <f>7100</f>
        <v>7100</v>
      </c>
      <c r="L61" s="588">
        <f t="shared" si="17"/>
        <v>0</v>
      </c>
      <c r="M61" s="636">
        <f t="shared" si="18"/>
        <v>1</v>
      </c>
      <c r="N61" s="637">
        <f>12100</f>
        <v>12100</v>
      </c>
      <c r="O61" s="588">
        <f>7100</f>
        <v>7100</v>
      </c>
      <c r="P61" s="588">
        <f t="shared" si="19"/>
        <v>5000</v>
      </c>
      <c r="Q61" s="75">
        <f t="shared" si="20"/>
        <v>1.704225352112676</v>
      </c>
      <c r="R61" s="588">
        <f>7100</f>
        <v>7100</v>
      </c>
      <c r="S61" s="588">
        <f>7100</f>
        <v>7100</v>
      </c>
      <c r="T61" s="588">
        <f t="shared" si="21"/>
        <v>0</v>
      </c>
      <c r="U61" s="636">
        <f t="shared" si="22"/>
        <v>1</v>
      </c>
      <c r="V61" s="641">
        <f t="shared" si="23"/>
        <v>40500</v>
      </c>
      <c r="W61" s="642">
        <f t="shared" si="23"/>
        <v>35500</v>
      </c>
      <c r="X61" s="642">
        <f t="shared" si="24"/>
        <v>5000</v>
      </c>
      <c r="Y61" s="643">
        <f t="shared" si="25"/>
        <v>1.1408450704225352</v>
      </c>
    </row>
    <row r="62" spans="1:25" x14ac:dyDescent="0.25">
      <c r="A62" s="39" t="s">
        <v>41</v>
      </c>
      <c r="B62" s="587"/>
      <c r="C62" s="587"/>
      <c r="D62" s="588">
        <f t="shared" si="13"/>
        <v>0</v>
      </c>
      <c r="E62" s="636" t="str">
        <f t="shared" si="14"/>
        <v/>
      </c>
      <c r="F62" s="634"/>
      <c r="G62" s="587"/>
      <c r="H62" s="588">
        <f t="shared" si="15"/>
        <v>0</v>
      </c>
      <c r="I62" s="75" t="str">
        <f t="shared" si="16"/>
        <v/>
      </c>
      <c r="J62" s="587"/>
      <c r="K62" s="587"/>
      <c r="L62" s="588">
        <f t="shared" si="17"/>
        <v>0</v>
      </c>
      <c r="M62" s="636" t="str">
        <f t="shared" si="18"/>
        <v/>
      </c>
      <c r="N62" s="634"/>
      <c r="O62" s="587"/>
      <c r="P62" s="588">
        <f t="shared" si="19"/>
        <v>0</v>
      </c>
      <c r="Q62" s="75" t="str">
        <f t="shared" si="20"/>
        <v/>
      </c>
      <c r="R62" s="587"/>
      <c r="S62" s="587"/>
      <c r="T62" s="588">
        <f t="shared" si="21"/>
        <v>0</v>
      </c>
      <c r="U62" s="636" t="str">
        <f t="shared" si="22"/>
        <v/>
      </c>
      <c r="V62" s="641">
        <f t="shared" si="23"/>
        <v>0</v>
      </c>
      <c r="W62" s="642">
        <f t="shared" si="23"/>
        <v>0</v>
      </c>
      <c r="X62" s="642">
        <f t="shared" si="24"/>
        <v>0</v>
      </c>
      <c r="Y62" s="643" t="str">
        <f t="shared" si="25"/>
        <v/>
      </c>
    </row>
    <row r="63" spans="1:25" x14ac:dyDescent="0.25">
      <c r="A63" s="39" t="s">
        <v>830</v>
      </c>
      <c r="B63" s="587"/>
      <c r="C63" s="588">
        <f>6000</f>
        <v>6000</v>
      </c>
      <c r="D63" s="588">
        <f t="shared" si="13"/>
        <v>-6000</v>
      </c>
      <c r="E63" s="636">
        <f t="shared" si="14"/>
        <v>0</v>
      </c>
      <c r="F63" s="634"/>
      <c r="G63" s="588">
        <f>6000</f>
        <v>6000</v>
      </c>
      <c r="H63" s="588">
        <f t="shared" si="15"/>
        <v>-6000</v>
      </c>
      <c r="I63" s="75">
        <f t="shared" si="16"/>
        <v>0</v>
      </c>
      <c r="J63" s="587"/>
      <c r="K63" s="588">
        <f>6000</f>
        <v>6000</v>
      </c>
      <c r="L63" s="588">
        <f t="shared" si="17"/>
        <v>-6000</v>
      </c>
      <c r="M63" s="636">
        <f t="shared" si="18"/>
        <v>0</v>
      </c>
      <c r="N63" s="634"/>
      <c r="O63" s="588">
        <f>6000</f>
        <v>6000</v>
      </c>
      <c r="P63" s="588">
        <f t="shared" si="19"/>
        <v>-6000</v>
      </c>
      <c r="Q63" s="75">
        <f t="shared" si="20"/>
        <v>0</v>
      </c>
      <c r="R63" s="587"/>
      <c r="S63" s="588">
        <f>6000</f>
        <v>6000</v>
      </c>
      <c r="T63" s="588">
        <f t="shared" si="21"/>
        <v>-6000</v>
      </c>
      <c r="U63" s="636">
        <f t="shared" si="22"/>
        <v>0</v>
      </c>
      <c r="V63" s="641">
        <f t="shared" si="23"/>
        <v>0</v>
      </c>
      <c r="W63" s="642">
        <f t="shared" si="23"/>
        <v>30000</v>
      </c>
      <c r="X63" s="642">
        <f t="shared" si="24"/>
        <v>-30000</v>
      </c>
      <c r="Y63" s="643">
        <f t="shared" si="25"/>
        <v>0</v>
      </c>
    </row>
    <row r="64" spans="1:25" x14ac:dyDescent="0.25">
      <c r="A64" s="39" t="s">
        <v>42</v>
      </c>
      <c r="B64" s="588">
        <f>3965.5</f>
        <v>3965.5</v>
      </c>
      <c r="C64" s="588">
        <f>4000</f>
        <v>4000</v>
      </c>
      <c r="D64" s="588">
        <f t="shared" si="13"/>
        <v>-34.5</v>
      </c>
      <c r="E64" s="636">
        <f t="shared" si="14"/>
        <v>0.99137500000000001</v>
      </c>
      <c r="F64" s="637">
        <f>3969.33</f>
        <v>3969.33</v>
      </c>
      <c r="G64" s="588">
        <f>4000</f>
        <v>4000</v>
      </c>
      <c r="H64" s="588">
        <f t="shared" si="15"/>
        <v>-30.670000000000073</v>
      </c>
      <c r="I64" s="75">
        <f t="shared" si="16"/>
        <v>0.99233249999999995</v>
      </c>
      <c r="J64" s="588">
        <f>3968.52</f>
        <v>3968.52</v>
      </c>
      <c r="K64" s="588">
        <f>4000</f>
        <v>4000</v>
      </c>
      <c r="L64" s="588">
        <f t="shared" si="17"/>
        <v>-31.480000000000018</v>
      </c>
      <c r="M64" s="636">
        <f t="shared" si="18"/>
        <v>0.99212999999999996</v>
      </c>
      <c r="N64" s="637">
        <f>3966.14</f>
        <v>3966.14</v>
      </c>
      <c r="O64" s="588">
        <f>4000</f>
        <v>4000</v>
      </c>
      <c r="P64" s="588">
        <f t="shared" si="19"/>
        <v>-33.860000000000127</v>
      </c>
      <c r="Q64" s="75">
        <f t="shared" si="20"/>
        <v>0.99153499999999994</v>
      </c>
      <c r="R64" s="588">
        <f>3966.14</f>
        <v>3966.14</v>
      </c>
      <c r="S64" s="588">
        <f>4000</f>
        <v>4000</v>
      </c>
      <c r="T64" s="588">
        <f t="shared" si="21"/>
        <v>-33.860000000000127</v>
      </c>
      <c r="U64" s="636">
        <f t="shared" si="22"/>
        <v>0.99153499999999994</v>
      </c>
      <c r="V64" s="641">
        <f t="shared" si="23"/>
        <v>19835.63</v>
      </c>
      <c r="W64" s="642">
        <f t="shared" si="23"/>
        <v>20000</v>
      </c>
      <c r="X64" s="642">
        <f t="shared" si="24"/>
        <v>-164.36999999999898</v>
      </c>
      <c r="Y64" s="643">
        <f t="shared" si="25"/>
        <v>0.99178150000000009</v>
      </c>
    </row>
    <row r="65" spans="1:25" x14ac:dyDescent="0.25">
      <c r="A65" s="39" t="s">
        <v>43</v>
      </c>
      <c r="B65" s="471">
        <f>((B62)+(B63))+(B64)</f>
        <v>3965.5</v>
      </c>
      <c r="C65" s="471">
        <f>((C62)+(C63))+(C64)</f>
        <v>10000</v>
      </c>
      <c r="D65" s="471">
        <f t="shared" si="13"/>
        <v>-6034.5</v>
      </c>
      <c r="E65" s="596">
        <f t="shared" si="14"/>
        <v>0.39655000000000001</v>
      </c>
      <c r="F65" s="597">
        <f>((F62)+(F63))+(F64)</f>
        <v>3969.33</v>
      </c>
      <c r="G65" s="471">
        <f>((G62)+(G63))+(G64)</f>
        <v>10000</v>
      </c>
      <c r="H65" s="471">
        <f t="shared" si="15"/>
        <v>-6030.67</v>
      </c>
      <c r="I65" s="53">
        <f t="shared" si="16"/>
        <v>0.39693299999999998</v>
      </c>
      <c r="J65" s="471">
        <f>((J62)+(J63))+(J64)</f>
        <v>3968.52</v>
      </c>
      <c r="K65" s="471">
        <f>((K62)+(K63))+(K64)</f>
        <v>10000</v>
      </c>
      <c r="L65" s="471">
        <f t="shared" si="17"/>
        <v>-6031.48</v>
      </c>
      <c r="M65" s="596">
        <f t="shared" si="18"/>
        <v>0.39685199999999998</v>
      </c>
      <c r="N65" s="597">
        <f>((N62)+(N63))+(N64)</f>
        <v>3966.14</v>
      </c>
      <c r="O65" s="471">
        <f>((O62)+(O63))+(O64)</f>
        <v>10000</v>
      </c>
      <c r="P65" s="471">
        <f t="shared" si="19"/>
        <v>-6033.8600000000006</v>
      </c>
      <c r="Q65" s="53">
        <f t="shared" si="20"/>
        <v>0.39661399999999997</v>
      </c>
      <c r="R65" s="471">
        <f>((R62)+(R63))+(R64)</f>
        <v>3966.14</v>
      </c>
      <c r="S65" s="471">
        <f>((S62)+(S63))+(S64)</f>
        <v>10000</v>
      </c>
      <c r="T65" s="471">
        <f t="shared" si="21"/>
        <v>-6033.8600000000006</v>
      </c>
      <c r="U65" s="596">
        <f t="shared" si="22"/>
        <v>0.39661399999999997</v>
      </c>
      <c r="V65" s="598">
        <f t="shared" si="23"/>
        <v>19835.63</v>
      </c>
      <c r="W65" s="599">
        <f t="shared" si="23"/>
        <v>50000</v>
      </c>
      <c r="X65" s="599">
        <f t="shared" si="24"/>
        <v>-30164.37</v>
      </c>
      <c r="Y65" s="600">
        <f t="shared" si="25"/>
        <v>0.39671260000000003</v>
      </c>
    </row>
    <row r="66" spans="1:25" ht="30" x14ac:dyDescent="0.25">
      <c r="A66" s="39" t="s">
        <v>44</v>
      </c>
      <c r="B66" s="471">
        <f>(((B59)+(B60))+(B61))+(B65)</f>
        <v>11298.470000000001</v>
      </c>
      <c r="C66" s="471">
        <f>(((C59)+(C60))+(C61))+(C65)</f>
        <v>17400</v>
      </c>
      <c r="D66" s="471">
        <f t="shared" si="13"/>
        <v>-6101.5299999999988</v>
      </c>
      <c r="E66" s="596">
        <f t="shared" si="14"/>
        <v>0.6493373563218392</v>
      </c>
      <c r="F66" s="597">
        <f>(((F59)+(F60))+(F61))+(F65)</f>
        <v>11302.3</v>
      </c>
      <c r="G66" s="471">
        <f>(((G59)+(G60))+(G61))+(G65)</f>
        <v>17400</v>
      </c>
      <c r="H66" s="471">
        <f t="shared" si="15"/>
        <v>-6097.7000000000007</v>
      </c>
      <c r="I66" s="53">
        <f t="shared" si="16"/>
        <v>0.6495574712643678</v>
      </c>
      <c r="J66" s="471">
        <f>(((J59)+(J60))+(J61))+(J65)</f>
        <v>11301.49</v>
      </c>
      <c r="K66" s="471">
        <f>(((K59)+(K60))+(K61))+(K65)</f>
        <v>17400</v>
      </c>
      <c r="L66" s="471">
        <f t="shared" si="17"/>
        <v>-6098.51</v>
      </c>
      <c r="M66" s="596">
        <f t="shared" si="18"/>
        <v>0.64951091954022988</v>
      </c>
      <c r="N66" s="597">
        <f>(((N59)+(N60))+(N61))+(N65)</f>
        <v>17288.11</v>
      </c>
      <c r="O66" s="471">
        <f>(((O59)+(O60))+(O61))+(O65)</f>
        <v>17400</v>
      </c>
      <c r="P66" s="471">
        <f t="shared" si="19"/>
        <v>-111.88999999999942</v>
      </c>
      <c r="Q66" s="53">
        <f t="shared" si="20"/>
        <v>0.99356954022988508</v>
      </c>
      <c r="R66" s="471">
        <f>(((R59)+(R60))+(R61))+(R65)</f>
        <v>11597.22</v>
      </c>
      <c r="S66" s="471">
        <f>(((S59)+(S60))+(S61))+(S65)</f>
        <v>17400</v>
      </c>
      <c r="T66" s="471">
        <f t="shared" si="21"/>
        <v>-5802.7800000000007</v>
      </c>
      <c r="U66" s="596">
        <f t="shared" si="22"/>
        <v>0.66650689655172413</v>
      </c>
      <c r="V66" s="598">
        <f t="shared" si="23"/>
        <v>62787.590000000004</v>
      </c>
      <c r="W66" s="599">
        <f t="shared" si="23"/>
        <v>87000</v>
      </c>
      <c r="X66" s="599">
        <f t="shared" si="24"/>
        <v>-24212.409999999996</v>
      </c>
      <c r="Y66" s="600">
        <f t="shared" si="25"/>
        <v>0.72169643678160922</v>
      </c>
    </row>
    <row r="67" spans="1:25" x14ac:dyDescent="0.25">
      <c r="A67" s="39" t="s">
        <v>45</v>
      </c>
      <c r="B67" s="587"/>
      <c r="C67" s="587"/>
      <c r="D67" s="588">
        <f t="shared" si="13"/>
        <v>0</v>
      </c>
      <c r="E67" s="636" t="str">
        <f t="shared" si="14"/>
        <v/>
      </c>
      <c r="F67" s="634"/>
      <c r="G67" s="587"/>
      <c r="H67" s="588">
        <f t="shared" si="15"/>
        <v>0</v>
      </c>
      <c r="I67" s="75" t="str">
        <f t="shared" si="16"/>
        <v/>
      </c>
      <c r="J67" s="587"/>
      <c r="K67" s="587"/>
      <c r="L67" s="588">
        <f t="shared" si="17"/>
        <v>0</v>
      </c>
      <c r="M67" s="636" t="str">
        <f t="shared" si="18"/>
        <v/>
      </c>
      <c r="N67" s="634"/>
      <c r="O67" s="587"/>
      <c r="P67" s="588">
        <f t="shared" si="19"/>
        <v>0</v>
      </c>
      <c r="Q67" s="75" t="str">
        <f t="shared" si="20"/>
        <v/>
      </c>
      <c r="R67" s="587"/>
      <c r="S67" s="587"/>
      <c r="T67" s="588">
        <f t="shared" si="21"/>
        <v>0</v>
      </c>
      <c r="U67" s="636" t="str">
        <f t="shared" si="22"/>
        <v/>
      </c>
      <c r="V67" s="641">
        <f t="shared" si="23"/>
        <v>0</v>
      </c>
      <c r="W67" s="642">
        <f t="shared" si="23"/>
        <v>0</v>
      </c>
      <c r="X67" s="642">
        <f t="shared" si="24"/>
        <v>0</v>
      </c>
      <c r="Y67" s="643" t="str">
        <f t="shared" si="25"/>
        <v/>
      </c>
    </row>
    <row r="68" spans="1:25" x14ac:dyDescent="0.25">
      <c r="A68" s="39" t="s">
        <v>46</v>
      </c>
      <c r="B68" s="588">
        <f>305.66</f>
        <v>305.66000000000003</v>
      </c>
      <c r="C68" s="588">
        <f>300</f>
        <v>300</v>
      </c>
      <c r="D68" s="588">
        <f t="shared" si="13"/>
        <v>5.660000000000025</v>
      </c>
      <c r="E68" s="636">
        <f t="shared" si="14"/>
        <v>1.0188666666666668</v>
      </c>
      <c r="F68" s="637">
        <f>364.87</f>
        <v>364.87</v>
      </c>
      <c r="G68" s="588">
        <f>300</f>
        <v>300</v>
      </c>
      <c r="H68" s="588">
        <f t="shared" si="15"/>
        <v>64.87</v>
      </c>
      <c r="I68" s="75">
        <f t="shared" si="16"/>
        <v>1.2162333333333333</v>
      </c>
      <c r="J68" s="588">
        <f>335.99</f>
        <v>335.99</v>
      </c>
      <c r="K68" s="588">
        <f>300</f>
        <v>300</v>
      </c>
      <c r="L68" s="588">
        <f t="shared" si="17"/>
        <v>35.990000000000009</v>
      </c>
      <c r="M68" s="636">
        <f t="shared" si="18"/>
        <v>1.1199666666666668</v>
      </c>
      <c r="N68" s="637">
        <f>335.93</f>
        <v>335.93</v>
      </c>
      <c r="O68" s="588">
        <f>300</f>
        <v>300</v>
      </c>
      <c r="P68" s="588">
        <f t="shared" si="19"/>
        <v>35.930000000000007</v>
      </c>
      <c r="Q68" s="75">
        <f t="shared" si="20"/>
        <v>1.1197666666666668</v>
      </c>
      <c r="R68" s="588">
        <f>385.93</f>
        <v>385.93</v>
      </c>
      <c r="S68" s="588">
        <f>300</f>
        <v>300</v>
      </c>
      <c r="T68" s="588">
        <f t="shared" si="21"/>
        <v>85.93</v>
      </c>
      <c r="U68" s="636">
        <f t="shared" si="22"/>
        <v>1.2864333333333333</v>
      </c>
      <c r="V68" s="641">
        <f t="shared" si="23"/>
        <v>1728.38</v>
      </c>
      <c r="W68" s="642">
        <f t="shared" si="23"/>
        <v>1500</v>
      </c>
      <c r="X68" s="642">
        <f t="shared" si="24"/>
        <v>228.38000000000011</v>
      </c>
      <c r="Y68" s="643">
        <f t="shared" si="25"/>
        <v>1.1522533333333334</v>
      </c>
    </row>
    <row r="69" spans="1:25" x14ac:dyDescent="0.25">
      <c r="A69" s="39" t="s">
        <v>47</v>
      </c>
      <c r="B69" s="588">
        <f>124</f>
        <v>124</v>
      </c>
      <c r="C69" s="588">
        <f>125</f>
        <v>125</v>
      </c>
      <c r="D69" s="588">
        <f t="shared" si="13"/>
        <v>-1</v>
      </c>
      <c r="E69" s="636">
        <f t="shared" si="14"/>
        <v>0.99199999999999999</v>
      </c>
      <c r="F69" s="637">
        <f>124</f>
        <v>124</v>
      </c>
      <c r="G69" s="588">
        <f>125</f>
        <v>125</v>
      </c>
      <c r="H69" s="588">
        <f t="shared" si="15"/>
        <v>-1</v>
      </c>
      <c r="I69" s="75">
        <f t="shared" si="16"/>
        <v>0.99199999999999999</v>
      </c>
      <c r="J69" s="588">
        <f>124</f>
        <v>124</v>
      </c>
      <c r="K69" s="588">
        <f>125</f>
        <v>125</v>
      </c>
      <c r="L69" s="588">
        <f t="shared" si="17"/>
        <v>-1</v>
      </c>
      <c r="M69" s="636">
        <f t="shared" si="18"/>
        <v>0.99199999999999999</v>
      </c>
      <c r="N69" s="637">
        <f>124</f>
        <v>124</v>
      </c>
      <c r="O69" s="588">
        <f>125</f>
        <v>125</v>
      </c>
      <c r="P69" s="588">
        <f t="shared" si="19"/>
        <v>-1</v>
      </c>
      <c r="Q69" s="75">
        <f t="shared" si="20"/>
        <v>0.99199999999999999</v>
      </c>
      <c r="R69" s="588">
        <f>124</f>
        <v>124</v>
      </c>
      <c r="S69" s="588">
        <f>125</f>
        <v>125</v>
      </c>
      <c r="T69" s="588">
        <f t="shared" si="21"/>
        <v>-1</v>
      </c>
      <c r="U69" s="636">
        <f t="shared" si="22"/>
        <v>0.99199999999999999</v>
      </c>
      <c r="V69" s="641">
        <f t="shared" si="23"/>
        <v>620</v>
      </c>
      <c r="W69" s="642">
        <f t="shared" si="23"/>
        <v>625</v>
      </c>
      <c r="X69" s="642">
        <f t="shared" si="24"/>
        <v>-5</v>
      </c>
      <c r="Y69" s="643">
        <f t="shared" si="25"/>
        <v>0.99199999999999999</v>
      </c>
    </row>
    <row r="70" spans="1:25" ht="30" x14ac:dyDescent="0.25">
      <c r="A70" s="39" t="s">
        <v>48</v>
      </c>
      <c r="B70" s="588">
        <f>1662.33</f>
        <v>1662.33</v>
      </c>
      <c r="C70" s="588">
        <f>100</f>
        <v>100</v>
      </c>
      <c r="D70" s="588">
        <f t="shared" si="13"/>
        <v>1562.33</v>
      </c>
      <c r="E70" s="636">
        <f t="shared" si="14"/>
        <v>16.6233</v>
      </c>
      <c r="F70" s="637">
        <f>30.96</f>
        <v>30.96</v>
      </c>
      <c r="G70" s="588">
        <f>100</f>
        <v>100</v>
      </c>
      <c r="H70" s="588">
        <f t="shared" si="15"/>
        <v>-69.039999999999992</v>
      </c>
      <c r="I70" s="75">
        <f t="shared" si="16"/>
        <v>0.30959999999999999</v>
      </c>
      <c r="J70" s="588">
        <f>13.05</f>
        <v>13.05</v>
      </c>
      <c r="K70" s="588">
        <f>100</f>
        <v>100</v>
      </c>
      <c r="L70" s="588">
        <f t="shared" si="17"/>
        <v>-86.95</v>
      </c>
      <c r="M70" s="636">
        <f t="shared" si="18"/>
        <v>0.1305</v>
      </c>
      <c r="N70" s="637">
        <f>12.98</f>
        <v>12.98</v>
      </c>
      <c r="O70" s="588">
        <f>100</f>
        <v>100</v>
      </c>
      <c r="P70" s="588">
        <f t="shared" si="19"/>
        <v>-87.02</v>
      </c>
      <c r="Q70" s="75">
        <f t="shared" si="20"/>
        <v>0.1298</v>
      </c>
      <c r="R70" s="588">
        <f>19.2</f>
        <v>19.2</v>
      </c>
      <c r="S70" s="588">
        <f>100</f>
        <v>100</v>
      </c>
      <c r="T70" s="588">
        <f t="shared" si="21"/>
        <v>-80.8</v>
      </c>
      <c r="U70" s="636">
        <f t="shared" si="22"/>
        <v>0.192</v>
      </c>
      <c r="V70" s="641">
        <f t="shared" si="23"/>
        <v>1738.52</v>
      </c>
      <c r="W70" s="642">
        <f t="shared" si="23"/>
        <v>500</v>
      </c>
      <c r="X70" s="642">
        <f t="shared" si="24"/>
        <v>1238.52</v>
      </c>
      <c r="Y70" s="643">
        <f t="shared" si="25"/>
        <v>3.4770400000000001</v>
      </c>
    </row>
    <row r="71" spans="1:25" x14ac:dyDescent="0.25">
      <c r="A71" s="39" t="s">
        <v>49</v>
      </c>
      <c r="B71" s="588">
        <f>100</f>
        <v>100</v>
      </c>
      <c r="C71" s="588">
        <f>150</f>
        <v>150</v>
      </c>
      <c r="D71" s="588">
        <f t="shared" si="13"/>
        <v>-50</v>
      </c>
      <c r="E71" s="636">
        <f t="shared" si="14"/>
        <v>0.66666666666666663</v>
      </c>
      <c r="F71" s="637">
        <f>100</f>
        <v>100</v>
      </c>
      <c r="G71" s="588">
        <f>150</f>
        <v>150</v>
      </c>
      <c r="H71" s="588">
        <f t="shared" si="15"/>
        <v>-50</v>
      </c>
      <c r="I71" s="75">
        <f t="shared" si="16"/>
        <v>0.66666666666666663</v>
      </c>
      <c r="J71" s="588">
        <f>100</f>
        <v>100</v>
      </c>
      <c r="K71" s="588">
        <f>150</f>
        <v>150</v>
      </c>
      <c r="L71" s="588">
        <f t="shared" si="17"/>
        <v>-50</v>
      </c>
      <c r="M71" s="636">
        <f t="shared" si="18"/>
        <v>0.66666666666666663</v>
      </c>
      <c r="N71" s="637">
        <f>100</f>
        <v>100</v>
      </c>
      <c r="O71" s="588">
        <f>150</f>
        <v>150</v>
      </c>
      <c r="P71" s="588">
        <f t="shared" si="19"/>
        <v>-50</v>
      </c>
      <c r="Q71" s="75">
        <f t="shared" si="20"/>
        <v>0.66666666666666663</v>
      </c>
      <c r="R71" s="588">
        <f>150</f>
        <v>150</v>
      </c>
      <c r="S71" s="588">
        <f>150</f>
        <v>150</v>
      </c>
      <c r="T71" s="588">
        <f t="shared" si="21"/>
        <v>0</v>
      </c>
      <c r="U71" s="636">
        <f t="shared" si="22"/>
        <v>1</v>
      </c>
      <c r="V71" s="641">
        <f t="shared" si="23"/>
        <v>550</v>
      </c>
      <c r="W71" s="642">
        <f t="shared" si="23"/>
        <v>750</v>
      </c>
      <c r="X71" s="642">
        <f t="shared" si="24"/>
        <v>-200</v>
      </c>
      <c r="Y71" s="643">
        <f t="shared" si="25"/>
        <v>0.73333333333333328</v>
      </c>
    </row>
    <row r="72" spans="1:25" x14ac:dyDescent="0.25">
      <c r="A72" s="39" t="s">
        <v>50</v>
      </c>
      <c r="B72" s="471">
        <f>((((B67)+(B68))+(B69))+(B70))+(B71)</f>
        <v>2191.9899999999998</v>
      </c>
      <c r="C72" s="471">
        <f>((((C67)+(C68))+(C69))+(C70))+(C71)</f>
        <v>675</v>
      </c>
      <c r="D72" s="471">
        <f t="shared" si="13"/>
        <v>1516.9899999999998</v>
      </c>
      <c r="E72" s="596">
        <f t="shared" si="14"/>
        <v>3.2473925925925924</v>
      </c>
      <c r="F72" s="597">
        <f>((((F67)+(F68))+(F69))+(F70))+(F71)</f>
        <v>619.83000000000004</v>
      </c>
      <c r="G72" s="471">
        <f>((((G67)+(G68))+(G69))+(G70))+(G71)</f>
        <v>675</v>
      </c>
      <c r="H72" s="471">
        <f t="shared" si="15"/>
        <v>-55.169999999999959</v>
      </c>
      <c r="I72" s="53">
        <f t="shared" si="16"/>
        <v>0.91826666666666668</v>
      </c>
      <c r="J72" s="471">
        <f>((((J67)+(J68))+(J69))+(J70))+(J71)</f>
        <v>573.04</v>
      </c>
      <c r="K72" s="471">
        <f>((((K67)+(K68))+(K69))+(K70))+(K71)</f>
        <v>675</v>
      </c>
      <c r="L72" s="471">
        <f t="shared" si="17"/>
        <v>-101.96000000000004</v>
      </c>
      <c r="M72" s="596">
        <f t="shared" si="18"/>
        <v>0.84894814814814812</v>
      </c>
      <c r="N72" s="597">
        <f>((((N67)+(N68))+(N69))+(N70))+(N71)</f>
        <v>572.91000000000008</v>
      </c>
      <c r="O72" s="471">
        <f>((((O67)+(O68))+(O69))+(O70))+(O71)</f>
        <v>675</v>
      </c>
      <c r="P72" s="471">
        <f t="shared" si="19"/>
        <v>-102.08999999999992</v>
      </c>
      <c r="Q72" s="53">
        <f t="shared" si="20"/>
        <v>0.84875555555555571</v>
      </c>
      <c r="R72" s="471">
        <f>((((R67)+(R68))+(R69))+(R70))+(R71)</f>
        <v>679.13</v>
      </c>
      <c r="S72" s="471">
        <f>((((S67)+(S68))+(S69))+(S70))+(S71)</f>
        <v>675</v>
      </c>
      <c r="T72" s="471">
        <f t="shared" si="21"/>
        <v>4.1299999999999955</v>
      </c>
      <c r="U72" s="596">
        <f t="shared" si="22"/>
        <v>1.0061185185185184</v>
      </c>
      <c r="V72" s="598">
        <f t="shared" si="23"/>
        <v>4636.8999999999996</v>
      </c>
      <c r="W72" s="599">
        <f t="shared" si="23"/>
        <v>3375</v>
      </c>
      <c r="X72" s="599">
        <f t="shared" si="24"/>
        <v>1261.8999999999996</v>
      </c>
      <c r="Y72" s="600">
        <f t="shared" si="25"/>
        <v>1.3738962962962962</v>
      </c>
    </row>
    <row r="73" spans="1:25" x14ac:dyDescent="0.25">
      <c r="A73" s="39" t="s">
        <v>51</v>
      </c>
      <c r="B73" s="471">
        <f>((((B43)+(B47))+(B58))+(B66))+(B72)</f>
        <v>55616.14</v>
      </c>
      <c r="C73" s="471">
        <f>((((C43)+(C47))+(C58))+(C66))+(C72)</f>
        <v>56493.869999999995</v>
      </c>
      <c r="D73" s="471">
        <f t="shared" si="13"/>
        <v>-877.72999999999593</v>
      </c>
      <c r="E73" s="596">
        <f t="shared" si="14"/>
        <v>0.9844632700857634</v>
      </c>
      <c r="F73" s="597">
        <f>((((F43)+(F47))+(F58))+(F66))+(F72)</f>
        <v>61663.34</v>
      </c>
      <c r="G73" s="471">
        <f>((((G43)+(G47))+(G58))+(G66))+(G72)</f>
        <v>58247.31</v>
      </c>
      <c r="H73" s="471">
        <f t="shared" si="15"/>
        <v>3416.0299999999988</v>
      </c>
      <c r="I73" s="53">
        <f t="shared" si="16"/>
        <v>1.058647000179064</v>
      </c>
      <c r="J73" s="471">
        <f>((((J43)+(J47))+(J58))+(J66))+(J72)</f>
        <v>48385.229999999996</v>
      </c>
      <c r="K73" s="471">
        <f>((((K43)+(K47))+(K58))+(K66))+(K72)</f>
        <v>66031.87</v>
      </c>
      <c r="L73" s="471">
        <f t="shared" si="17"/>
        <v>-17646.64</v>
      </c>
      <c r="M73" s="596">
        <f t="shared" si="18"/>
        <v>0.73275571326391331</v>
      </c>
      <c r="N73" s="597">
        <f>((((N43)+(N47))+(N58))+(N66))+(N72)</f>
        <v>54424.98</v>
      </c>
      <c r="O73" s="471">
        <f>((((O43)+(O47))+(O58))+(O66))+(O72)</f>
        <v>56031.87</v>
      </c>
      <c r="P73" s="471">
        <f t="shared" si="19"/>
        <v>-1606.8899999999994</v>
      </c>
      <c r="Q73" s="53">
        <f t="shared" si="20"/>
        <v>0.97132185665050985</v>
      </c>
      <c r="R73" s="471">
        <f>((((R43)+(R47))+(R58))+(R66))+(R72)</f>
        <v>49692.849999999991</v>
      </c>
      <c r="S73" s="471">
        <f>((((S43)+(S47))+(S58))+(S66))+(S72)</f>
        <v>56031.87</v>
      </c>
      <c r="T73" s="471">
        <f t="shared" si="21"/>
        <v>-6339.0200000000114</v>
      </c>
      <c r="U73" s="596">
        <f t="shared" si="22"/>
        <v>0.88686759874335785</v>
      </c>
      <c r="V73" s="598">
        <f t="shared" si="23"/>
        <v>269782.53999999998</v>
      </c>
      <c r="W73" s="599">
        <f t="shared" si="23"/>
        <v>292836.78999999998</v>
      </c>
      <c r="X73" s="599">
        <f t="shared" si="24"/>
        <v>-23054.25</v>
      </c>
      <c r="Y73" s="600">
        <f t="shared" si="25"/>
        <v>0.92127269937633183</v>
      </c>
    </row>
    <row r="74" spans="1:25" x14ac:dyDescent="0.25">
      <c r="A74" s="39" t="s">
        <v>52</v>
      </c>
      <c r="B74" s="471">
        <f>(B29)-(B73)</f>
        <v>-14861.400000000001</v>
      </c>
      <c r="C74" s="471">
        <f>(C29)-(C73)</f>
        <v>-23243.869999999995</v>
      </c>
      <c r="D74" s="471">
        <f t="shared" si="13"/>
        <v>8382.4699999999939</v>
      </c>
      <c r="E74" s="596">
        <f t="shared" si="14"/>
        <v>0.63936857330556418</v>
      </c>
      <c r="F74" s="597">
        <f>(F29)-(F73)</f>
        <v>-2980.7099999999919</v>
      </c>
      <c r="G74" s="471">
        <f>(G29)-(G73)</f>
        <v>4002.6900000000023</v>
      </c>
      <c r="H74" s="471">
        <f t="shared" si="15"/>
        <v>-6983.3999999999942</v>
      </c>
      <c r="I74" s="53">
        <f t="shared" si="16"/>
        <v>-0.74467670491594151</v>
      </c>
      <c r="J74" s="471">
        <f>(J29)-(J73)</f>
        <v>13489.550000000003</v>
      </c>
      <c r="K74" s="471">
        <f>(K29)-(K73)</f>
        <v>2218.1300000000047</v>
      </c>
      <c r="L74" s="471">
        <f t="shared" si="17"/>
        <v>11271.419999999998</v>
      </c>
      <c r="M74" s="596">
        <f t="shared" si="18"/>
        <v>6.0814965759445903</v>
      </c>
      <c r="N74" s="597">
        <f>(N29)-(N73)</f>
        <v>-7472.9400000000096</v>
      </c>
      <c r="O74" s="471">
        <f>(O29)-(O73)</f>
        <v>-12031.870000000003</v>
      </c>
      <c r="P74" s="471">
        <f t="shared" si="19"/>
        <v>4558.929999999993</v>
      </c>
      <c r="Q74" s="53">
        <f t="shared" si="20"/>
        <v>0.62109547393713593</v>
      </c>
      <c r="R74" s="471">
        <f>(R29)-(R73)</f>
        <v>-5944.669999999991</v>
      </c>
      <c r="S74" s="471">
        <f>(S29)-(S73)</f>
        <v>-11281.870000000003</v>
      </c>
      <c r="T74" s="471">
        <f t="shared" si="21"/>
        <v>5337.2000000000116</v>
      </c>
      <c r="U74" s="596">
        <f t="shared" si="22"/>
        <v>0.52692239850308409</v>
      </c>
      <c r="V74" s="598">
        <f t="shared" si="23"/>
        <v>-17770.169999999991</v>
      </c>
      <c r="W74" s="599">
        <f t="shared" si="23"/>
        <v>-40336.789999999994</v>
      </c>
      <c r="X74" s="599">
        <f t="shared" si="24"/>
        <v>22566.620000000003</v>
      </c>
      <c r="Y74" s="600">
        <f t="shared" si="25"/>
        <v>0.44054497147641131</v>
      </c>
    </row>
    <row r="75" spans="1:25" ht="15.75" thickBot="1" x14ac:dyDescent="0.3">
      <c r="A75" s="39" t="s">
        <v>53</v>
      </c>
      <c r="B75" s="471">
        <f>(B74)+(0)</f>
        <v>-14861.400000000001</v>
      </c>
      <c r="C75" s="471">
        <f>(C74)+(0)</f>
        <v>-23243.869999999995</v>
      </c>
      <c r="D75" s="471">
        <f t="shared" si="13"/>
        <v>8382.4699999999939</v>
      </c>
      <c r="E75" s="596">
        <f t="shared" si="14"/>
        <v>0.63936857330556418</v>
      </c>
      <c r="F75" s="601">
        <f>(F74)+(0)</f>
        <v>-2980.7099999999919</v>
      </c>
      <c r="G75" s="602">
        <f>(G74)+(0)</f>
        <v>4002.6900000000023</v>
      </c>
      <c r="H75" s="602">
        <f t="shared" si="15"/>
        <v>-6983.3999999999942</v>
      </c>
      <c r="I75" s="54">
        <f t="shared" si="16"/>
        <v>-0.74467670491594151</v>
      </c>
      <c r="J75" s="471">
        <f>(J74)+(0)</f>
        <v>13489.550000000003</v>
      </c>
      <c r="K75" s="471">
        <f>(K74)+(0)</f>
        <v>2218.1300000000047</v>
      </c>
      <c r="L75" s="471">
        <f t="shared" si="17"/>
        <v>11271.419999999998</v>
      </c>
      <c r="M75" s="596">
        <f t="shared" si="18"/>
        <v>6.0814965759445903</v>
      </c>
      <c r="N75" s="601">
        <f>(N74)+(0)</f>
        <v>-7472.9400000000096</v>
      </c>
      <c r="O75" s="602">
        <f>(O74)+(0)</f>
        <v>-12031.870000000003</v>
      </c>
      <c r="P75" s="602">
        <f t="shared" si="19"/>
        <v>4558.929999999993</v>
      </c>
      <c r="Q75" s="54">
        <f t="shared" si="20"/>
        <v>0.62109547393713593</v>
      </c>
      <c r="R75" s="471">
        <f>(R74)+(0)</f>
        <v>-5944.669999999991</v>
      </c>
      <c r="S75" s="471">
        <f>(S74)+(0)</f>
        <v>-11281.870000000003</v>
      </c>
      <c r="T75" s="471">
        <f t="shared" si="21"/>
        <v>5337.2000000000116</v>
      </c>
      <c r="U75" s="596">
        <f t="shared" si="22"/>
        <v>0.52692239850308409</v>
      </c>
      <c r="V75" s="603">
        <f t="shared" si="23"/>
        <v>-17770.169999999991</v>
      </c>
      <c r="W75" s="604">
        <f t="shared" si="23"/>
        <v>-40336.789999999994</v>
      </c>
      <c r="X75" s="604">
        <f t="shared" si="24"/>
        <v>22566.620000000003</v>
      </c>
      <c r="Y75" s="605">
        <f t="shared" si="25"/>
        <v>0.44054497147641131</v>
      </c>
    </row>
  </sheetData>
  <mergeCells count="6">
    <mergeCell ref="B5:E5"/>
    <mergeCell ref="V5:Y5"/>
    <mergeCell ref="F5:I5"/>
    <mergeCell ref="J5:M5"/>
    <mergeCell ref="N5:Q5"/>
    <mergeCell ref="R5:U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BE93-3E12-4D27-A816-9ABD079C1B08}">
  <sheetPr codeName="Sheet8"/>
  <dimension ref="A1:I20"/>
  <sheetViews>
    <sheetView zoomScale="110" zoomScaleNormal="110" workbookViewId="0">
      <selection activeCell="A32" sqref="A32"/>
    </sheetView>
  </sheetViews>
  <sheetFormatPr defaultRowHeight="15" x14ac:dyDescent="0.25"/>
  <cols>
    <col min="1" max="1" width="5.140625" customWidth="1"/>
    <col min="2" max="2" width="34.140625" customWidth="1"/>
    <col min="3" max="7" width="11.28515625" customWidth="1"/>
    <col min="8" max="8" width="12" customWidth="1"/>
    <col min="9" max="9" width="130.7109375" customWidth="1"/>
  </cols>
  <sheetData>
    <row r="1" spans="1:9" ht="18.75" x14ac:dyDescent="0.3">
      <c r="B1" s="732" t="s">
        <v>1034</v>
      </c>
      <c r="C1" s="733"/>
      <c r="D1" s="733"/>
      <c r="E1" s="733"/>
      <c r="F1" s="733"/>
      <c r="G1" s="733"/>
      <c r="H1" s="733"/>
    </row>
    <row r="2" spans="1:9" ht="18.75" x14ac:dyDescent="0.3">
      <c r="B2" s="732" t="s">
        <v>113</v>
      </c>
      <c r="C2" s="733"/>
      <c r="D2" s="733"/>
      <c r="E2" s="733"/>
      <c r="F2" s="733"/>
      <c r="G2" s="733"/>
      <c r="H2" s="733"/>
    </row>
    <row r="3" spans="1:9" x14ac:dyDescent="0.25">
      <c r="B3" s="734" t="s">
        <v>1584</v>
      </c>
      <c r="C3" s="735"/>
      <c r="D3" s="735"/>
      <c r="E3" s="735"/>
      <c r="F3" s="735"/>
      <c r="G3" s="735"/>
      <c r="H3" s="735"/>
    </row>
    <row r="5" spans="1:9" ht="15" customHeight="1" x14ac:dyDescent="0.25">
      <c r="B5" s="586"/>
      <c r="C5" s="469" t="s">
        <v>112</v>
      </c>
      <c r="D5" s="469" t="s">
        <v>111</v>
      </c>
      <c r="E5" s="469" t="s">
        <v>110</v>
      </c>
      <c r="F5" s="469" t="s">
        <v>109</v>
      </c>
      <c r="G5" s="469" t="s">
        <v>108</v>
      </c>
      <c r="H5" s="469" t="s">
        <v>1</v>
      </c>
    </row>
    <row r="6" spans="1:9" x14ac:dyDescent="0.25">
      <c r="A6" s="470">
        <v>-1</v>
      </c>
      <c r="B6" s="39" t="s">
        <v>156</v>
      </c>
      <c r="C6" s="587"/>
      <c r="D6" s="587"/>
      <c r="E6" s="587"/>
      <c r="F6" s="587"/>
      <c r="G6" s="588">
        <f>9500</f>
        <v>9500</v>
      </c>
      <c r="H6" s="588">
        <f t="shared" ref="H6:H12" si="0">((((C6)+(D6))+(E6))+(F6))+(G6)</f>
        <v>9500</v>
      </c>
      <c r="I6" t="s">
        <v>1585</v>
      </c>
    </row>
    <row r="7" spans="1:9" x14ac:dyDescent="0.25">
      <c r="A7" s="470">
        <v>-2</v>
      </c>
      <c r="B7" s="39" t="s">
        <v>539</v>
      </c>
      <c r="C7" s="587"/>
      <c r="D7" s="588">
        <f>2500</f>
        <v>2500</v>
      </c>
      <c r="E7" s="587"/>
      <c r="F7" s="587"/>
      <c r="G7" s="587"/>
      <c r="H7" s="588">
        <f t="shared" si="0"/>
        <v>2500</v>
      </c>
      <c r="I7" t="s">
        <v>1586</v>
      </c>
    </row>
    <row r="8" spans="1:9" x14ac:dyDescent="0.25">
      <c r="A8" s="470">
        <v>-3</v>
      </c>
      <c r="B8" s="39" t="s">
        <v>563</v>
      </c>
      <c r="C8" s="587"/>
      <c r="D8" s="588">
        <f>5000</f>
        <v>5000</v>
      </c>
      <c r="E8" s="587"/>
      <c r="F8" s="587"/>
      <c r="G8" s="587"/>
      <c r="H8" s="588">
        <f t="shared" si="0"/>
        <v>5000</v>
      </c>
      <c r="I8" t="s">
        <v>1587</v>
      </c>
    </row>
    <row r="9" spans="1:9" x14ac:dyDescent="0.25">
      <c r="A9" s="470">
        <v>-4</v>
      </c>
      <c r="B9" s="39" t="s">
        <v>925</v>
      </c>
      <c r="C9" s="587"/>
      <c r="D9" s="587"/>
      <c r="E9" s="588">
        <f>15000</f>
        <v>15000</v>
      </c>
      <c r="F9" s="587"/>
      <c r="G9" s="587"/>
      <c r="H9" s="588">
        <f t="shared" si="0"/>
        <v>15000</v>
      </c>
      <c r="I9" t="s">
        <v>1588</v>
      </c>
    </row>
    <row r="10" spans="1:9" x14ac:dyDescent="0.25">
      <c r="A10" s="470">
        <v>-5</v>
      </c>
      <c r="B10" s="646" t="s">
        <v>1553</v>
      </c>
      <c r="C10" s="587"/>
      <c r="D10" s="587"/>
      <c r="E10" s="587"/>
      <c r="F10" s="588">
        <f>6000</f>
        <v>6000</v>
      </c>
      <c r="G10" s="587"/>
      <c r="H10" s="588">
        <f t="shared" si="0"/>
        <v>6000</v>
      </c>
      <c r="I10" t="s">
        <v>1589</v>
      </c>
    </row>
    <row r="11" spans="1:9" ht="28.5" customHeight="1" x14ac:dyDescent="0.25">
      <c r="A11" s="470">
        <v>-6</v>
      </c>
      <c r="B11" s="646" t="s">
        <v>1590</v>
      </c>
      <c r="C11" s="587"/>
      <c r="D11" s="588">
        <f>10000</f>
        <v>10000</v>
      </c>
      <c r="E11" s="587"/>
      <c r="F11" s="587"/>
      <c r="G11" s="587"/>
      <c r="H11" s="588">
        <f t="shared" si="0"/>
        <v>10000</v>
      </c>
      <c r="I11" t="s">
        <v>1591</v>
      </c>
    </row>
    <row r="12" spans="1:9" s="586" customFormat="1" x14ac:dyDescent="0.25">
      <c r="A12"/>
      <c r="B12" s="39" t="s">
        <v>103</v>
      </c>
      <c r="C12" s="471">
        <f>SUM(C6:C11)</f>
        <v>0</v>
      </c>
      <c r="D12" s="471">
        <f t="shared" ref="D12:G12" si="1">SUM(D6:D11)</f>
        <v>17500</v>
      </c>
      <c r="E12" s="471">
        <f t="shared" si="1"/>
        <v>15000</v>
      </c>
      <c r="F12" s="471">
        <f t="shared" si="1"/>
        <v>6000</v>
      </c>
      <c r="G12" s="471">
        <f t="shared" si="1"/>
        <v>9500</v>
      </c>
      <c r="H12" s="471">
        <f t="shared" si="0"/>
        <v>48000</v>
      </c>
      <c r="I12"/>
    </row>
    <row r="13" spans="1:9" x14ac:dyDescent="0.25">
      <c r="B13" s="39"/>
      <c r="C13" s="587"/>
      <c r="D13" s="587"/>
      <c r="E13" s="587"/>
      <c r="F13" s="587"/>
      <c r="G13" s="587"/>
      <c r="H13" s="645"/>
    </row>
    <row r="14" spans="1:9" x14ac:dyDescent="0.25">
      <c r="H14" s="606"/>
    </row>
    <row r="15" spans="1:9" x14ac:dyDescent="0.25">
      <c r="A15" s="470">
        <v>-1</v>
      </c>
      <c r="B15" s="644" t="s">
        <v>1592</v>
      </c>
    </row>
    <row r="16" spans="1:9" x14ac:dyDescent="0.25">
      <c r="A16" s="470">
        <v>-2</v>
      </c>
      <c r="B16" s="644" t="s">
        <v>1593</v>
      </c>
    </row>
    <row r="17" spans="1:2" x14ac:dyDescent="0.25">
      <c r="A17" s="470">
        <v>-3</v>
      </c>
      <c r="B17" t="s">
        <v>1594</v>
      </c>
    </row>
    <row r="18" spans="1:2" x14ac:dyDescent="0.25">
      <c r="A18" s="470">
        <v>-4</v>
      </c>
      <c r="B18" t="s">
        <v>1595</v>
      </c>
    </row>
    <row r="19" spans="1:2" x14ac:dyDescent="0.25">
      <c r="A19" s="470">
        <v>-5</v>
      </c>
      <c r="B19" t="s">
        <v>1596</v>
      </c>
    </row>
    <row r="20" spans="1:2" x14ac:dyDescent="0.25">
      <c r="A20" s="470">
        <v>-6</v>
      </c>
      <c r="B20" t="s">
        <v>1597</v>
      </c>
    </row>
  </sheetData>
  <mergeCells count="3">
    <mergeCell ref="B1:H1"/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Dashboard</vt:lpstr>
      <vt:lpstr>2023 YE Projection</vt:lpstr>
      <vt:lpstr>Corp Sponsorship 2024</vt:lpstr>
      <vt:lpstr>Corp Sponsorship Tracking 2024</vt:lpstr>
      <vt:lpstr>Event Sponsorship 2024</vt:lpstr>
      <vt:lpstr>Stmt of Activities-P&amp;L</vt:lpstr>
      <vt:lpstr>Stmt of Fin Position-Balance Sh</vt:lpstr>
      <vt:lpstr>Monthly YTD Actuals vs. Budget</vt:lpstr>
      <vt:lpstr>AR Aging Summary</vt:lpstr>
      <vt:lpstr>2024 Budget</vt:lpstr>
      <vt:lpstr>2023 Balance Sheet</vt:lpstr>
      <vt:lpstr>'Corp Sponsorship Tracking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Doug Drennan</cp:lastModifiedBy>
  <cp:lastPrinted>2024-04-03T05:19:05Z</cp:lastPrinted>
  <dcterms:created xsi:type="dcterms:W3CDTF">2020-08-07T05:08:58Z</dcterms:created>
  <dcterms:modified xsi:type="dcterms:W3CDTF">2024-06-19T17:58:02Z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bee049-613c-46fe-9473-d4660177915f_Enabled">
    <vt:lpwstr>true</vt:lpwstr>
  </property>
  <property fmtid="{D5CDD505-2E9C-101B-9397-08002B2CF9AE}" pid="3" name="MSIP_Label_63bee049-613c-46fe-9473-d4660177915f_SetDate">
    <vt:lpwstr>2023-08-11T00:21:47Z</vt:lpwstr>
  </property>
  <property fmtid="{D5CDD505-2E9C-101B-9397-08002B2CF9AE}" pid="4" name="MSIP_Label_63bee049-613c-46fe-9473-d4660177915f_Method">
    <vt:lpwstr>Standard</vt:lpwstr>
  </property>
  <property fmtid="{D5CDD505-2E9C-101B-9397-08002B2CF9AE}" pid="5" name="MSIP_Label_63bee049-613c-46fe-9473-d4660177915f_Name">
    <vt:lpwstr>General</vt:lpwstr>
  </property>
  <property fmtid="{D5CDD505-2E9C-101B-9397-08002B2CF9AE}" pid="6" name="MSIP_Label_63bee049-613c-46fe-9473-d4660177915f_SiteId">
    <vt:lpwstr>4e91f216-9d58-420b-9913-a5ffb948b599</vt:lpwstr>
  </property>
  <property fmtid="{D5CDD505-2E9C-101B-9397-08002B2CF9AE}" pid="7" name="MSIP_Label_63bee049-613c-46fe-9473-d4660177915f_ActionId">
    <vt:lpwstr>bdbffde4-c742-4134-b14b-2232edfa6d1e</vt:lpwstr>
  </property>
  <property fmtid="{D5CDD505-2E9C-101B-9397-08002B2CF9AE}" pid="8" name="MSIP_Label_63bee049-613c-46fe-9473-d4660177915f_ContentBits">
    <vt:lpwstr>0</vt:lpwstr>
  </property>
</Properties>
</file>